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A:\ADMINISTRATION AEE\60-MATERIEL ET INFORMATIQUE\64-LOGICIEL\TARIFS - CALCULATEUR EXCEL\"/>
    </mc:Choice>
  </mc:AlternateContent>
  <xr:revisionPtr revIDLastSave="0" documentId="8_{3922988E-812E-4A11-8403-D4605B0BC6CE}" xr6:coauthVersionLast="47" xr6:coauthVersionMax="47" xr10:uidLastSave="{00000000-0000-0000-0000-000000000000}"/>
  <bookViews>
    <workbookView xWindow="-28920" yWindow="-120" windowWidth="29040" windowHeight="15840" activeTab="2" xr2:uid="{305B7D7E-DA76-FE45-A250-8F8A122DA509}"/>
  </bookViews>
  <sheets>
    <sheet name="Suivi modif" sheetId="15" state="hidden" r:id="rId1"/>
    <sheet name="Data" sheetId="2" state="hidden" r:id="rId2"/>
    <sheet name="Bienvenue" sheetId="11" r:id="rId3"/>
    <sheet name="Résumé" sheetId="12" r:id="rId4"/>
    <sheet name="Calculateur" sheetId="10" r:id="rId5"/>
    <sheet name="Tarif Crèche" sheetId="17" state="hidden" r:id="rId6"/>
    <sheet name="Tarif UAPE" sheetId="16" state="hidden" r:id="rId7"/>
    <sheet name="Tarif AFJ" sheetId="6" state="hidden" r:id="rId8"/>
    <sheet name="Tarif Vacances" sheetId="18" state="hidden" r:id="rId9"/>
  </sheets>
  <definedNames>
    <definedName name="AMF_parascolaire">Data!#REF!</definedName>
    <definedName name="AMF_préscolaire">Data!$F$4:$F$10</definedName>
    <definedName name="Aucun">Data!#REF!</definedName>
    <definedName name="Crèche">Data!$B$4:$B$10</definedName>
    <definedName name="UAPE">Data!$C$4:$C$10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91" i="10" l="1"/>
  <c r="I91" i="10"/>
  <c r="J91" i="10"/>
  <c r="G91" i="10"/>
  <c r="O74" i="10"/>
  <c r="P74" i="10"/>
  <c r="Q74" i="10"/>
  <c r="O73" i="10"/>
  <c r="P73" i="10"/>
  <c r="Q73" i="10"/>
  <c r="O72" i="10"/>
  <c r="P72" i="10"/>
  <c r="Q72" i="10"/>
  <c r="N74" i="10"/>
  <c r="N73" i="10"/>
  <c r="N72" i="10"/>
  <c r="K91" i="10" l="1"/>
  <c r="H95" i="10"/>
  <c r="I95" i="10"/>
  <c r="J95" i="10"/>
  <c r="G95" i="10"/>
  <c r="J6" i="12"/>
  <c r="J11" i="12"/>
  <c r="Q90" i="10"/>
  <c r="P90" i="10"/>
  <c r="Q87" i="10"/>
  <c r="P87" i="10"/>
  <c r="Q84" i="10"/>
  <c r="P80" i="10"/>
  <c r="Q80" i="10"/>
  <c r="Q77" i="10"/>
  <c r="P77" i="10"/>
  <c r="O92" i="10"/>
  <c r="P92" i="10"/>
  <c r="O93" i="10"/>
  <c r="P93" i="10"/>
  <c r="Q93" i="10"/>
  <c r="O95" i="10"/>
  <c r="P95" i="10"/>
  <c r="Q95" i="10"/>
  <c r="N95" i="10"/>
  <c r="N93" i="10"/>
  <c r="O71" i="10"/>
  <c r="O94" i="10" s="1"/>
  <c r="P71" i="10"/>
  <c r="P94" i="10" s="1"/>
  <c r="Q71" i="10"/>
  <c r="Q94" i="10" s="1"/>
  <c r="N71" i="10"/>
  <c r="N94" i="10" s="1"/>
  <c r="N96" i="10" l="1"/>
  <c r="Q101" i="10"/>
  <c r="N99" i="10"/>
  <c r="O96" i="10"/>
  <c r="Q99" i="10"/>
  <c r="P96" i="10"/>
  <c r="Q96" i="10"/>
  <c r="O99" i="10"/>
  <c r="O100" i="10"/>
  <c r="N100" i="10"/>
  <c r="O98" i="10"/>
  <c r="N97" i="10"/>
  <c r="Q97" i="10"/>
  <c r="P99" i="10"/>
  <c r="P84" i="10" s="1"/>
  <c r="O101" i="10"/>
  <c r="N92" i="10"/>
  <c r="N77" i="10" s="1"/>
  <c r="Q98" i="10"/>
  <c r="Q92" i="10"/>
  <c r="N98" i="10"/>
  <c r="O97" i="10"/>
  <c r="N101" i="10"/>
  <c r="P97" i="10"/>
  <c r="P101" i="10"/>
  <c r="P98" i="10"/>
  <c r="P100" i="10"/>
  <c r="Q100" i="10"/>
  <c r="O59" i="10" a="1"/>
  <c r="O59" i="10" s="1"/>
  <c r="P59" i="10" a="1"/>
  <c r="P59" i="10" s="1"/>
  <c r="Q59" i="10" a="1"/>
  <c r="Q59" i="10" s="1"/>
  <c r="O60" i="10" a="1"/>
  <c r="O60" i="10" s="1"/>
  <c r="P60" i="10" a="1"/>
  <c r="P60" i="10" s="1"/>
  <c r="Q60" i="10" a="1"/>
  <c r="Q60" i="10" s="1"/>
  <c r="P61" i="10" a="1"/>
  <c r="P61" i="10" s="1"/>
  <c r="Q61" i="10" a="1"/>
  <c r="Q61" i="10" s="1"/>
  <c r="O62" i="10" a="1"/>
  <c r="O62" i="10" s="1"/>
  <c r="Q62" i="10" a="1"/>
  <c r="Q62" i="10" s="1"/>
  <c r="N87" i="10" l="1"/>
  <c r="N84" i="10"/>
  <c r="N80" i="10"/>
  <c r="N90" i="10"/>
  <c r="O80" i="10"/>
  <c r="O84" i="10"/>
  <c r="O77" i="10"/>
  <c r="K77" i="10" s="1"/>
  <c r="O90" i="10"/>
  <c r="O87" i="10"/>
  <c r="K83" i="10" l="1"/>
  <c r="K89" i="10"/>
  <c r="K86" i="10"/>
  <c r="K80" i="10"/>
  <c r="G4" i="11"/>
  <c r="F21" i="12" l="1"/>
  <c r="G93" i="10" l="1"/>
  <c r="I93" i="10"/>
  <c r="J93" i="10"/>
  <c r="H93" i="10"/>
  <c r="J4" i="12" l="1"/>
  <c r="J15" i="12" l="1"/>
  <c r="N3" i="10" s="1"/>
  <c r="F15" i="12" a="1"/>
  <c r="F15" i="12" s="1"/>
  <c r="F26" i="12" s="1"/>
  <c r="R19" i="10" l="1"/>
  <c r="N54" i="10"/>
  <c r="N19" i="10"/>
  <c r="Q19" i="10"/>
  <c r="O19" i="10"/>
  <c r="P19" i="10"/>
  <c r="N5" i="10"/>
  <c r="Q28" i="10" l="1"/>
  <c r="P23" i="10"/>
  <c r="N23" i="10"/>
  <c r="Q44" i="10"/>
  <c r="P28" i="10"/>
  <c r="Q23" i="10"/>
  <c r="Q39" i="10"/>
  <c r="N39" i="10"/>
  <c r="O34" i="10"/>
  <c r="P44" i="10"/>
  <c r="O28" i="10"/>
  <c r="P34" i="10"/>
  <c r="O44" i="10"/>
  <c r="N28" i="10"/>
  <c r="P39" i="10"/>
  <c r="Q34" i="10"/>
  <c r="O39" i="10"/>
  <c r="N34" i="10"/>
  <c r="N44" i="10"/>
  <c r="O23" i="10"/>
  <c r="O38" i="10"/>
  <c r="O27" i="10"/>
  <c r="N38" i="10"/>
  <c r="O43" i="10"/>
  <c r="N27" i="10"/>
  <c r="N43" i="10"/>
  <c r="O22" i="10"/>
  <c r="P38" i="10"/>
  <c r="Q22" i="10"/>
  <c r="P22" i="10"/>
  <c r="Q32" i="10"/>
  <c r="P43" i="10"/>
  <c r="Q38" i="10"/>
  <c r="P32" i="10"/>
  <c r="Q43" i="10"/>
  <c r="Q27" i="10"/>
  <c r="N22" i="10"/>
  <c r="O32" i="10"/>
  <c r="P27" i="10"/>
  <c r="N32" i="10"/>
  <c r="N45" i="10"/>
  <c r="P45" i="10"/>
  <c r="O29" i="10"/>
  <c r="N35" i="10"/>
  <c r="Q40" i="10"/>
  <c r="O24" i="10"/>
  <c r="O45" i="10"/>
  <c r="N24" i="10"/>
  <c r="P40" i="10"/>
  <c r="P24" i="10"/>
  <c r="Q35" i="10"/>
  <c r="N29" i="10"/>
  <c r="N40" i="10"/>
  <c r="Q24" i="10"/>
  <c r="O35" i="10"/>
  <c r="Q29" i="10"/>
  <c r="P35" i="10"/>
  <c r="P29" i="10"/>
  <c r="O40" i="10"/>
  <c r="Q45" i="10"/>
  <c r="O33" i="10"/>
  <c r="Q33" i="10"/>
  <c r="N33" i="10"/>
  <c r="P33" i="10"/>
  <c r="O46" i="10"/>
  <c r="O36" i="10"/>
  <c r="O41" i="10"/>
  <c r="Q46" i="10"/>
  <c r="P36" i="10"/>
  <c r="N41" i="10"/>
  <c r="O25" i="10"/>
  <c r="Q36" i="10"/>
  <c r="Q30" i="10"/>
  <c r="P46" i="10"/>
  <c r="P25" i="10"/>
  <c r="N46" i="10"/>
  <c r="Q25" i="10"/>
  <c r="Q41" i="10"/>
  <c r="P30" i="10"/>
  <c r="N30" i="10"/>
  <c r="O30" i="10"/>
  <c r="N25" i="10"/>
  <c r="N36" i="10"/>
  <c r="P41" i="10"/>
  <c r="O54" i="10"/>
  <c r="P54" i="10" s="1"/>
  <c r="Q70" i="10"/>
  <c r="O70" i="10"/>
  <c r="P70" i="10"/>
  <c r="N70" i="10"/>
  <c r="M104" i="10"/>
  <c r="Q5" i="10"/>
  <c r="P5" i="10"/>
  <c r="O5" i="10"/>
  <c r="P58" i="10" l="1" a="1"/>
  <c r="P58" i="10" s="1"/>
  <c r="O58" i="10" a="1"/>
  <c r="O58" i="10" s="1"/>
  <c r="O61" i="10" a="1"/>
  <c r="O61" i="10" s="1"/>
  <c r="P62" i="10" a="1"/>
  <c r="P62" i="10" s="1"/>
  <c r="Q58" i="10" a="1"/>
  <c r="Q58" i="10" s="1"/>
  <c r="J65" i="10" s="1"/>
  <c r="N106" i="10"/>
  <c r="P108" i="10"/>
  <c r="Q111" i="10"/>
  <c r="Q108" i="10"/>
  <c r="N107" i="10"/>
  <c r="O109" i="10"/>
  <c r="N108" i="10"/>
  <c r="Q106" i="10"/>
  <c r="P109" i="10"/>
  <c r="N109" i="10"/>
  <c r="O110" i="10"/>
  <c r="P110" i="10"/>
  <c r="Q110" i="10"/>
  <c r="Q107" i="10"/>
  <c r="P111" i="10"/>
  <c r="O106" i="10"/>
  <c r="Q109" i="10"/>
  <c r="N110" i="10"/>
  <c r="N111" i="10"/>
  <c r="O107" i="10"/>
  <c r="P107" i="10"/>
  <c r="O111" i="10"/>
  <c r="P106" i="10"/>
  <c r="O108" i="10"/>
  <c r="N60" i="10" a="1"/>
  <c r="N60" i="10" s="1"/>
  <c r="K60" i="10" s="1"/>
  <c r="N59" i="10" a="1"/>
  <c r="N59" i="10" s="1"/>
  <c r="K59" i="10" s="1"/>
  <c r="N62" i="10" a="1"/>
  <c r="N62" i="10" s="1"/>
  <c r="N61" i="10" a="1"/>
  <c r="N61" i="10" s="1"/>
  <c r="N58" i="10" a="1"/>
  <c r="N58" i="10" s="1"/>
  <c r="J49" i="10"/>
  <c r="I49" i="10"/>
  <c r="G49" i="10"/>
  <c r="G18" i="10" s="1"/>
  <c r="K30" i="10"/>
  <c r="K23" i="10"/>
  <c r="K41" i="10"/>
  <c r="K32" i="10"/>
  <c r="K40" i="10"/>
  <c r="K45" i="10"/>
  <c r="K43" i="10"/>
  <c r="K27" i="10"/>
  <c r="K39" i="10"/>
  <c r="K24" i="10"/>
  <c r="K34" i="10"/>
  <c r="K22" i="10"/>
  <c r="K46" i="10"/>
  <c r="K35" i="10"/>
  <c r="K36" i="10"/>
  <c r="K38" i="10"/>
  <c r="K25" i="10"/>
  <c r="K29" i="10"/>
  <c r="K44" i="10"/>
  <c r="K28" i="10"/>
  <c r="K33" i="10"/>
  <c r="O7" i="10" a="1"/>
  <c r="O7" i="10" s="1"/>
  <c r="Q7" i="10" a="1"/>
  <c r="Q7" i="10" s="1"/>
  <c r="N8" i="10" a="1"/>
  <c r="N8" i="10" s="1"/>
  <c r="O8" i="10" a="1"/>
  <c r="O8" i="10" s="1"/>
  <c r="Q8" i="10" a="1"/>
  <c r="Q8" i="10" s="1"/>
  <c r="P7" i="10" a="1"/>
  <c r="P7" i="10" s="1"/>
  <c r="Q10" i="10" a="1"/>
  <c r="Q10" i="10" s="1"/>
  <c r="N10" i="10" a="1"/>
  <c r="N10" i="10" s="1"/>
  <c r="O11" i="10" a="1"/>
  <c r="O11" i="10" s="1"/>
  <c r="Q11" i="10" a="1"/>
  <c r="Q11" i="10" s="1"/>
  <c r="O10" i="10" a="1"/>
  <c r="O10" i="10" s="1"/>
  <c r="N11" i="10" a="1"/>
  <c r="N11" i="10" s="1"/>
  <c r="N9" i="10" a="1"/>
  <c r="N9" i="10" s="1"/>
  <c r="Q9" i="10" a="1"/>
  <c r="Q9" i="10" s="1"/>
  <c r="P11" i="10" a="1"/>
  <c r="P11" i="10" s="1"/>
  <c r="N7" i="10" a="1"/>
  <c r="N7" i="10" s="1"/>
  <c r="O9" i="10" a="1"/>
  <c r="O9" i="10" s="1"/>
  <c r="P9" i="10" a="1"/>
  <c r="P9" i="10" s="1"/>
  <c r="P8" i="10" a="1"/>
  <c r="P8" i="10" s="1"/>
  <c r="P10" i="10" a="1"/>
  <c r="P10" i="10" s="1"/>
  <c r="Q79" i="10"/>
  <c r="Q86" i="10"/>
  <c r="Q83" i="10"/>
  <c r="Q76" i="10"/>
  <c r="Q89" i="10"/>
  <c r="N86" i="10"/>
  <c r="N83" i="10"/>
  <c r="N89" i="10"/>
  <c r="N76" i="10"/>
  <c r="N79" i="10"/>
  <c r="P76" i="10"/>
  <c r="P86" i="10"/>
  <c r="P83" i="10"/>
  <c r="P89" i="10"/>
  <c r="P79" i="10"/>
  <c r="O79" i="10"/>
  <c r="O76" i="10"/>
  <c r="O86" i="10"/>
  <c r="O89" i="10"/>
  <c r="O83" i="10"/>
  <c r="K61" i="10" l="1"/>
  <c r="K110" i="10"/>
  <c r="K62" i="10"/>
  <c r="H65" i="10"/>
  <c r="I65" i="10"/>
  <c r="H92" i="10"/>
  <c r="H96" i="10" s="1"/>
  <c r="H98" i="10" s="1"/>
  <c r="J92" i="10"/>
  <c r="J96" i="10" s="1"/>
  <c r="J98" i="10" s="1"/>
  <c r="I92" i="10"/>
  <c r="I96" i="10" s="1"/>
  <c r="I98" i="10" s="1"/>
  <c r="J115" i="10"/>
  <c r="H115" i="10"/>
  <c r="I115" i="10"/>
  <c r="G115" i="10"/>
  <c r="K58" i="10"/>
  <c r="G65" i="10"/>
  <c r="K7" i="10"/>
  <c r="K11" i="10"/>
  <c r="K8" i="10"/>
  <c r="K10" i="10"/>
  <c r="K9" i="10"/>
  <c r="G92" i="10"/>
  <c r="K93" i="10" s="1"/>
  <c r="G14" i="10"/>
  <c r="G4" i="10" s="1"/>
  <c r="I14" i="10"/>
  <c r="I4" i="10" s="1"/>
  <c r="J14" i="10"/>
  <c r="J4" i="10" s="1"/>
  <c r="H14" i="10"/>
  <c r="H4" i="10" s="1"/>
  <c r="K111" i="10"/>
  <c r="K108" i="10"/>
  <c r="K106" i="10"/>
  <c r="K109" i="10"/>
  <c r="K107" i="10"/>
  <c r="I53" i="10"/>
  <c r="H31" i="10"/>
  <c r="I21" i="10"/>
  <c r="H21" i="10"/>
  <c r="G31" i="10"/>
  <c r="J31" i="10"/>
  <c r="I37" i="10"/>
  <c r="I42" i="10"/>
  <c r="H42" i="10"/>
  <c r="G42" i="10"/>
  <c r="J42" i="10"/>
  <c r="H37" i="10"/>
  <c r="J37" i="10"/>
  <c r="J26" i="10"/>
  <c r="I26" i="10"/>
  <c r="G26" i="10"/>
  <c r="G37" i="10"/>
  <c r="J18" i="10"/>
  <c r="J21" i="10"/>
  <c r="G21" i="10"/>
  <c r="H49" i="10"/>
  <c r="H18" i="10" s="1"/>
  <c r="H26" i="10"/>
  <c r="I18" i="10"/>
  <c r="I31" i="10"/>
  <c r="K65" i="10" l="1"/>
  <c r="F31" i="12" s="1"/>
  <c r="G53" i="10"/>
  <c r="K31" i="10"/>
  <c r="K42" i="10"/>
  <c r="K37" i="10"/>
  <c r="K26" i="10"/>
  <c r="K14" i="10"/>
  <c r="F29" i="12" s="1"/>
  <c r="K115" i="10"/>
  <c r="F39" i="12" s="1"/>
  <c r="H103" i="10"/>
  <c r="I103" i="10"/>
  <c r="G103" i="10"/>
  <c r="J103" i="10"/>
  <c r="H69" i="10"/>
  <c r="I69" i="10"/>
  <c r="J69" i="10"/>
  <c r="K21" i="10"/>
  <c r="K92" i="10"/>
  <c r="K96" i="10" s="1"/>
  <c r="G96" i="10"/>
  <c r="G98" i="10" l="1"/>
  <c r="K98" i="10" s="1"/>
  <c r="F32" i="12" s="1"/>
  <c r="K49" i="10"/>
  <c r="F30" i="12" s="1"/>
  <c r="G69" i="10" l="1"/>
  <c r="F33" i="12"/>
  <c r="J53" i="10"/>
  <c r="H53" i="10"/>
  <c r="S3" i="10" l="1"/>
  <c r="F35" i="12" s="1"/>
  <c r="F37" i="1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<sst xmlns="http://schemas.openxmlformats.org/spreadsheetml/2006/main" count="495" uniqueCount="269">
  <si>
    <t>TOTAL</t>
  </si>
  <si>
    <t>Type d'accueil</t>
  </si>
  <si>
    <t>Revenu déterminant</t>
  </si>
  <si>
    <t>Matin</t>
  </si>
  <si>
    <t>Après-midi</t>
  </si>
  <si>
    <t>journée complète</t>
  </si>
  <si>
    <t>Crèche</t>
  </si>
  <si>
    <t>après-midi</t>
  </si>
  <si>
    <t>Repas</t>
  </si>
  <si>
    <t>Lundi</t>
  </si>
  <si>
    <t>Mardi</t>
  </si>
  <si>
    <t>Jeudi</t>
  </si>
  <si>
    <t>Vendredi</t>
  </si>
  <si>
    <t>PRESTATIONS</t>
  </si>
  <si>
    <t>Petit-déjeuner</t>
  </si>
  <si>
    <t>Goûter</t>
  </si>
  <si>
    <t>Mercredi</t>
  </si>
  <si>
    <t>Domicile</t>
  </si>
  <si>
    <t>Impôts</t>
  </si>
  <si>
    <t>Revenu pris en compte pour le calcul</t>
  </si>
  <si>
    <t>RÉSUMÉ DES PRESTATIONS</t>
  </si>
  <si>
    <t>DONNÉES PERSONNELLES</t>
  </si>
  <si>
    <t>Ref lieu</t>
  </si>
  <si>
    <t>Ref impot</t>
  </si>
  <si>
    <t>Tranche revenu</t>
  </si>
  <si>
    <t>CRECHE</t>
  </si>
  <si>
    <t>me</t>
  </si>
  <si>
    <t>lu</t>
  </si>
  <si>
    <t>ma</t>
  </si>
  <si>
    <t>je</t>
  </si>
  <si>
    <t>ve</t>
  </si>
  <si>
    <t>Nb heures</t>
  </si>
  <si>
    <t>Nombre d'heures</t>
  </si>
  <si>
    <t>Total mensuel, hors rabais fratrie</t>
  </si>
  <si>
    <t>TOTAL MENSUEL (hors rabais fratrie)</t>
  </si>
  <si>
    <t>Total hebdomadaire (hors rabais fratrie)</t>
  </si>
  <si>
    <t>Tarif prise en charge</t>
  </si>
  <si>
    <t>Tarif repas</t>
  </si>
  <si>
    <t>PREVISION MENSUELLE (hors rabais fratrie)</t>
  </si>
  <si>
    <t>Enfant A</t>
  </si>
  <si>
    <t>Enfant B</t>
  </si>
  <si>
    <t>Enfant C</t>
  </si>
  <si>
    <t>Enfant D</t>
  </si>
  <si>
    <t>Enfant E</t>
  </si>
  <si>
    <t>Enfant F</t>
  </si>
  <si>
    <t>Enfant G</t>
  </si>
  <si>
    <t>Enfant H</t>
  </si>
  <si>
    <t>Enfant I</t>
  </si>
  <si>
    <t>Enfant J</t>
  </si>
  <si>
    <t>Enfant K</t>
  </si>
  <si>
    <t>Enfant L</t>
  </si>
  <si>
    <t>Explications</t>
  </si>
  <si>
    <t>Midi</t>
  </si>
  <si>
    <t>Un résumé de la simulation et l'estimation du coût mensuel</t>
  </si>
  <si>
    <t>Enfant M</t>
  </si>
  <si>
    <t>Enfant N</t>
  </si>
  <si>
    <t>Enfant O</t>
  </si>
  <si>
    <t>Enfant P</t>
  </si>
  <si>
    <t>TOTAL MENSUEL ESTIMÉ, inclus rabais fratrie</t>
  </si>
  <si>
    <t>tarif journalier</t>
  </si>
  <si>
    <t>Catégorie</t>
  </si>
  <si>
    <t xml:space="preserve">CALCULATEUR </t>
  </si>
  <si>
    <t>Suivi des modifications</t>
  </si>
  <si>
    <t>reseau@asse-boiron.ch</t>
  </si>
  <si>
    <t>Attention : le calcul dépend de l'exactitude des données que vous fournissez.</t>
  </si>
  <si>
    <r>
      <t xml:space="preserve">Vous devez renseigner les </t>
    </r>
    <r>
      <rPr>
        <b/>
        <sz val="16"/>
        <color theme="1"/>
        <rFont val="Calibri"/>
        <family val="2"/>
        <scheme val="minor"/>
      </rPr>
      <t xml:space="preserve">cellules en blanc. </t>
    </r>
    <r>
      <rPr>
        <sz val="16"/>
        <color theme="1"/>
        <rFont val="Calibri"/>
        <family val="2"/>
        <scheme val="minor"/>
      </rPr>
      <t>Les autres se calculent automatiquement selon votre sélection.</t>
    </r>
  </si>
  <si>
    <t>UAPE 1-6P</t>
  </si>
  <si>
    <t>UAPE 7-8P</t>
  </si>
  <si>
    <t>Communes Asse-Boiron</t>
  </si>
  <si>
    <t>Des frais d'inscriptions sont à ajouter selon le type d'accueil, non compris dans ce calcul</t>
  </si>
  <si>
    <t>UAPE 1-6 P</t>
  </si>
  <si>
    <t>VACANCES</t>
  </si>
  <si>
    <t>BAREME PRESCOLAIRE</t>
  </si>
  <si>
    <t>Classe</t>
  </si>
  <si>
    <t xml:space="preserve">REVENU DETERMINANT                                               </t>
  </si>
  <si>
    <r>
      <t xml:space="preserve">Tarif </t>
    </r>
    <r>
      <rPr>
        <i/>
        <u/>
        <sz val="12"/>
        <color theme="1"/>
        <rFont val="Calibri"/>
        <family val="2"/>
        <scheme val="minor"/>
      </rPr>
      <t>journalier</t>
    </r>
    <r>
      <rPr>
        <i/>
        <sz val="12"/>
        <color theme="1"/>
        <rFont val="Calibri"/>
        <family val="2"/>
        <scheme val="minor"/>
      </rPr>
      <t xml:space="preserve">
payé par le parent</t>
    </r>
  </si>
  <si>
    <r>
      <t xml:space="preserve">Tarif </t>
    </r>
    <r>
      <rPr>
        <b/>
        <u/>
        <sz val="12"/>
        <color theme="0"/>
        <rFont val="Calibri"/>
        <family val="2"/>
        <scheme val="minor"/>
      </rPr>
      <t>journalier</t>
    </r>
    <r>
      <rPr>
        <b/>
        <sz val="12"/>
        <color theme="0"/>
        <rFont val="Calibri"/>
        <family val="2"/>
        <scheme val="minor"/>
      </rPr>
      <t xml:space="preserve">
payé par le parent</t>
    </r>
  </si>
  <si>
    <r>
      <t xml:space="preserve">Tarif </t>
    </r>
    <r>
      <rPr>
        <i/>
        <u/>
        <sz val="12"/>
        <color theme="1" tint="0.14999847407452621"/>
        <rFont val="Calibri"/>
        <family val="2"/>
        <scheme val="minor"/>
      </rPr>
      <t>mensuel</t>
    </r>
    <r>
      <rPr>
        <i/>
        <sz val="12"/>
        <color theme="1" tint="0.14999847407452621"/>
        <rFont val="Calibri"/>
        <family val="2"/>
        <scheme val="minor"/>
      </rPr>
      <t xml:space="preserve"> pour
1 journée complète par semaine
payé par le parent
</t>
    </r>
  </si>
  <si>
    <r>
      <t xml:space="preserve">Tarif </t>
    </r>
    <r>
      <rPr>
        <b/>
        <u/>
        <sz val="12"/>
        <color theme="1" tint="0.14999847407452621"/>
        <rFont val="Calibri"/>
        <family val="2"/>
        <scheme val="minor"/>
      </rPr>
      <t>mensuel</t>
    </r>
    <r>
      <rPr>
        <b/>
        <sz val="12"/>
        <color theme="1" tint="0.14999847407452621"/>
        <rFont val="Calibri"/>
        <family val="2"/>
        <scheme val="minor"/>
      </rPr>
      <t xml:space="preserve"> pour
1 journée complète par semaine
payé par le parent
</t>
    </r>
  </si>
  <si>
    <r>
      <t xml:space="preserve">Tarif </t>
    </r>
    <r>
      <rPr>
        <i/>
        <u/>
        <sz val="12"/>
        <color theme="1" tint="0.14999847407452621"/>
        <rFont val="Calibri"/>
        <family val="2"/>
        <scheme val="minor"/>
      </rPr>
      <t>mensuel</t>
    </r>
    <r>
      <rPr>
        <i/>
        <sz val="12"/>
        <color theme="1" tint="0.14999847407452621"/>
        <rFont val="Calibri"/>
        <family val="2"/>
        <scheme val="minor"/>
      </rPr>
      <t xml:space="preserve"> pour
1 MATIN/REPAS
par semaine
payé par le parent
</t>
    </r>
  </si>
  <si>
    <r>
      <t xml:space="preserve">Tarif </t>
    </r>
    <r>
      <rPr>
        <b/>
        <u/>
        <sz val="12"/>
        <color theme="1" tint="0.14999847407452621"/>
        <rFont val="Calibri"/>
        <family val="2"/>
        <scheme val="minor"/>
      </rPr>
      <t>mensuel</t>
    </r>
    <r>
      <rPr>
        <b/>
        <sz val="12"/>
        <color theme="1" tint="0.14999847407452621"/>
        <rFont val="Calibri"/>
        <family val="2"/>
        <scheme val="minor"/>
      </rPr>
      <t xml:space="preserve"> pour
1 MATIN/REPAS
par semaine
payé par le parent
</t>
    </r>
  </si>
  <si>
    <r>
      <t xml:space="preserve">Tarif </t>
    </r>
    <r>
      <rPr>
        <i/>
        <u/>
        <sz val="12"/>
        <color theme="1" tint="0.14999847407452621"/>
        <rFont val="Calibri"/>
        <family val="2"/>
        <scheme val="minor"/>
      </rPr>
      <t>mensuel</t>
    </r>
    <r>
      <rPr>
        <i/>
        <sz val="12"/>
        <color theme="1" tint="0.14999847407452621"/>
        <rFont val="Calibri"/>
        <family val="2"/>
        <scheme val="minor"/>
      </rPr>
      <t xml:space="preserve"> pour
1 MATIN/REPAS/SIESTE par semaine
payé par le parent</t>
    </r>
  </si>
  <si>
    <r>
      <t xml:space="preserve">Tarif </t>
    </r>
    <r>
      <rPr>
        <b/>
        <u/>
        <sz val="12"/>
        <color theme="1" tint="0.14999847407452621"/>
        <rFont val="Calibri"/>
        <family val="2"/>
        <scheme val="minor"/>
      </rPr>
      <t>mensuel</t>
    </r>
    <r>
      <rPr>
        <b/>
        <sz val="12"/>
        <color theme="1" tint="0.14999847407452621"/>
        <rFont val="Calibri"/>
        <family val="2"/>
        <scheme val="minor"/>
      </rPr>
      <t xml:space="preserve"> pour
1 MATIN/REPAS/SIESTE par semaine
payé par le parent</t>
    </r>
  </si>
  <si>
    <r>
      <t xml:space="preserve">Tarif </t>
    </r>
    <r>
      <rPr>
        <i/>
        <u/>
        <sz val="12"/>
        <color theme="1" tint="0.14999847407452621"/>
        <rFont val="Calibri"/>
        <family val="2"/>
        <scheme val="minor"/>
      </rPr>
      <t>mensuel</t>
    </r>
    <r>
      <rPr>
        <i/>
        <sz val="12"/>
        <color theme="1" tint="0.14999847407452621"/>
        <rFont val="Calibri"/>
        <family val="2"/>
        <scheme val="minor"/>
      </rPr>
      <t xml:space="preserve"> pour
1 APRES-MIDI
par semaine
payé par le parent</t>
    </r>
  </si>
  <si>
    <r>
      <t xml:space="preserve">Tarif </t>
    </r>
    <r>
      <rPr>
        <b/>
        <u/>
        <sz val="12"/>
        <color theme="1" tint="0.14999847407452621"/>
        <rFont val="Calibri"/>
        <family val="2"/>
        <scheme val="minor"/>
      </rPr>
      <t>mensuel</t>
    </r>
    <r>
      <rPr>
        <b/>
        <sz val="12"/>
        <color theme="1" tint="0.14999847407452621"/>
        <rFont val="Calibri"/>
        <family val="2"/>
        <scheme val="minor"/>
      </rPr>
      <t xml:space="preserve"> pour
1 APRES-MIDI
par semaine
payé par le parent</t>
    </r>
  </si>
  <si>
    <t>% tarif 
à charge 
des parents</t>
  </si>
  <si>
    <t>% tarif 
à charge
de l'AEE</t>
  </si>
  <si>
    <t>%
Total</t>
  </si>
  <si>
    <t>Rabais fratrie
automatique</t>
  </si>
  <si>
    <t>DE</t>
  </si>
  <si>
    <t>A</t>
  </si>
  <si>
    <t>ARRONDI</t>
  </si>
  <si>
    <r>
      <rPr>
        <b/>
        <sz val="13"/>
        <color rgb="FFFF0000"/>
        <rFont val="Calibri"/>
        <family val="2"/>
        <scheme val="minor"/>
      </rPr>
      <t>dès</t>
    </r>
    <r>
      <rPr>
        <b/>
        <sz val="14"/>
        <color rgb="FFFF0000"/>
        <rFont val="Calibri"/>
        <family val="2"/>
        <scheme val="minor"/>
      </rPr>
      <t xml:space="preserve"> 12'001</t>
    </r>
  </si>
  <si>
    <r>
      <t xml:space="preserve">TARIF MAXIMAL 
</t>
    </r>
    <r>
      <rPr>
        <b/>
        <u/>
        <sz val="16"/>
        <color rgb="FFFF0000"/>
        <rFont val="Calibri"/>
        <family val="2"/>
        <scheme val="minor"/>
      </rPr>
      <t>AVEC</t>
    </r>
    <r>
      <rPr>
        <b/>
        <sz val="16"/>
        <color rgb="FFFF0000"/>
        <rFont val="Calibri"/>
        <family val="2"/>
        <scheme val="minor"/>
      </rPr>
      <t xml:space="preserve"> rabais fratrie de 20 %</t>
    </r>
  </si>
  <si>
    <t>dès 12'001</t>
  </si>
  <si>
    <t>matin/repas/sieste</t>
  </si>
  <si>
    <t>matin/repas</t>
  </si>
  <si>
    <t>UAPE 7-8 P</t>
  </si>
  <si>
    <r>
      <t xml:space="preserve">Tarif </t>
    </r>
    <r>
      <rPr>
        <b/>
        <u/>
        <sz val="12"/>
        <color theme="1" tint="0.14999847407452621"/>
        <rFont val="Calibri"/>
        <family val="2"/>
        <scheme val="minor"/>
      </rPr>
      <t>par jour</t>
    </r>
    <r>
      <rPr>
        <b/>
        <sz val="12"/>
        <color theme="1" tint="0.14999847407452621"/>
        <rFont val="Calibri"/>
        <family val="2"/>
        <scheme val="minor"/>
      </rPr>
      <t xml:space="preserve"> pour
1 jour par semaine
payé par le parent</t>
    </r>
  </si>
  <si>
    <r>
      <t xml:space="preserve">Tarif </t>
    </r>
    <r>
      <rPr>
        <b/>
        <i/>
        <u/>
        <sz val="12"/>
        <color theme="1" tint="0.14999847407452621"/>
        <rFont val="Calibri"/>
        <family val="2"/>
        <scheme val="minor"/>
      </rPr>
      <t>mensuel</t>
    </r>
    <r>
      <rPr>
        <b/>
        <i/>
        <sz val="12"/>
        <color theme="1" tint="0.14999847407452621"/>
        <rFont val="Calibri"/>
        <family val="2"/>
        <scheme val="minor"/>
      </rPr>
      <t xml:space="preserve"> pour
1 jour par semaine
payé par le parent</t>
    </r>
  </si>
  <si>
    <r>
      <t xml:space="preserve">Tarif </t>
    </r>
    <r>
      <rPr>
        <b/>
        <u/>
        <sz val="12"/>
        <color theme="1" tint="0.14999847407452621"/>
        <rFont val="Calibri"/>
        <family val="2"/>
        <scheme val="minor"/>
      </rPr>
      <t>mensuel</t>
    </r>
    <r>
      <rPr>
        <b/>
        <sz val="12"/>
        <color theme="1" tint="0.14999847407452621"/>
        <rFont val="Calibri"/>
        <family val="2"/>
        <scheme val="minor"/>
      </rPr>
      <t xml:space="preserve"> pour
1 jour par semaine
payé par le parent</t>
    </r>
  </si>
  <si>
    <r>
      <t xml:space="preserve">Tarif </t>
    </r>
    <r>
      <rPr>
        <b/>
        <i/>
        <u/>
        <sz val="12"/>
        <color theme="1" tint="0.14999847407452621"/>
        <rFont val="Calibri"/>
        <family val="2"/>
        <scheme val="minor"/>
      </rPr>
      <t>par jour</t>
    </r>
    <r>
      <rPr>
        <b/>
        <i/>
        <sz val="12"/>
        <color theme="1" tint="0.14999847407452621"/>
        <rFont val="Calibri"/>
        <family val="2"/>
        <scheme val="minor"/>
      </rPr>
      <t xml:space="preserve"> pour
1 jour par semaine
payé par le parent</t>
    </r>
  </si>
  <si>
    <t>MATIN</t>
  </si>
  <si>
    <t>MERCREDI MATINEE</t>
  </si>
  <si>
    <t>MIDI</t>
  </si>
  <si>
    <t>APRES-MIDI</t>
  </si>
  <si>
    <t>SOIR</t>
  </si>
  <si>
    <t>7-8P / MIDI</t>
  </si>
  <si>
    <t>7-8P / SOIR</t>
  </si>
  <si>
    <t xml:space="preserve"> /</t>
  </si>
  <si>
    <t>BAREME AMF</t>
  </si>
  <si>
    <t>TARIF
HORAIRE</t>
  </si>
  <si>
    <t>TARIF
HORAIRE
AVEC
RABAIS
FRATRIE</t>
  </si>
  <si>
    <t xml:space="preserve"> / </t>
  </si>
  <si>
    <t>BAREME ACCUEILS VACANCES</t>
  </si>
  <si>
    <r>
      <t xml:space="preserve">Tarif </t>
    </r>
    <r>
      <rPr>
        <b/>
        <i/>
        <u/>
        <sz val="16"/>
        <color theme="0"/>
        <rFont val="Calibri"/>
        <family val="2"/>
        <scheme val="minor"/>
      </rPr>
      <t>journalier</t>
    </r>
    <r>
      <rPr>
        <b/>
        <i/>
        <sz val="16"/>
        <color theme="0"/>
        <rFont val="Calibri"/>
        <family val="2"/>
        <scheme val="minor"/>
      </rPr>
      <t xml:space="preserve">
payé par le parent</t>
    </r>
  </si>
  <si>
    <t>Tarif pour
1 jour par semaine
payé par le parent</t>
  </si>
  <si>
    <r>
      <t xml:space="preserve">Tarif </t>
    </r>
    <r>
      <rPr>
        <b/>
        <u/>
        <sz val="16"/>
        <color theme="1" tint="0.14999847407452621"/>
        <rFont val="Calibri"/>
        <family val="2"/>
        <scheme val="minor"/>
      </rPr>
      <t>par semaine</t>
    </r>
    <r>
      <rPr>
        <b/>
        <sz val="16"/>
        <color theme="1" tint="0.14999847407452621"/>
        <rFont val="Calibri"/>
        <family val="2"/>
        <scheme val="minor"/>
      </rPr>
      <t xml:space="preserve">
payé par le parent</t>
    </r>
  </si>
  <si>
    <t xml:space="preserve">  /</t>
  </si>
  <si>
    <t>BAREME PARASCOLAIRE</t>
  </si>
  <si>
    <t>Semaine 1</t>
  </si>
  <si>
    <t>Semaine 2</t>
  </si>
  <si>
    <t>Semaine 3</t>
  </si>
  <si>
    <t>Semaine 4</t>
  </si>
  <si>
    <t>Semaine 5</t>
  </si>
  <si>
    <t>Semaine 6</t>
  </si>
  <si>
    <t>Semaine complète</t>
  </si>
  <si>
    <t>Accueil Vacances</t>
  </si>
  <si>
    <t>Goûter du matin</t>
  </si>
  <si>
    <t>soir</t>
  </si>
  <si>
    <t>Soir</t>
  </si>
  <si>
    <t>midi</t>
  </si>
  <si>
    <t>AFJ</t>
  </si>
  <si>
    <t>Semaine 1 (Pâques)</t>
  </si>
  <si>
    <t>Semaine 2 (été)</t>
  </si>
  <si>
    <t>Semaine 6 (octobre)</t>
  </si>
  <si>
    <t>Semaine 3 (été)</t>
  </si>
  <si>
    <t>Facturation à la semaine</t>
  </si>
  <si>
    <t>Semaine 4 (été)</t>
  </si>
  <si>
    <t>Semaine 5 (octobre)</t>
  </si>
  <si>
    <t>Accueils vacances</t>
  </si>
  <si>
    <t>Accueil Familial de Jour</t>
  </si>
  <si>
    <t>Accueils Vacances</t>
  </si>
  <si>
    <t>Autres communes</t>
  </si>
  <si>
    <t>Echelon</t>
  </si>
  <si>
    <t xml:space="preserve">Matin </t>
  </si>
  <si>
    <t>Matinée</t>
  </si>
  <si>
    <t>Matinée (me)</t>
  </si>
  <si>
    <t>AJF</t>
  </si>
  <si>
    <t>Matin : 7h00 - 8h15</t>
  </si>
  <si>
    <t>Matinée : 8h15 - 11h30 (1P)</t>
  </si>
  <si>
    <t>Midi : 11h30 - 13h30</t>
  </si>
  <si>
    <t>Après-midi : 13h30 - 15h00 (1P - 2P)</t>
  </si>
  <si>
    <t>Soir : 15h00 - 18h30</t>
  </si>
  <si>
    <t>Tarif</t>
  </si>
  <si>
    <t>Oui</t>
  </si>
  <si>
    <t>Validation générale</t>
  </si>
  <si>
    <t>Lissage 47 semaines, sur 11 factures mensuelles</t>
  </si>
  <si>
    <t>Lissage 37 semaines, sur 10 factures mensuelles</t>
  </si>
  <si>
    <t>Midi et soir</t>
  </si>
  <si>
    <t>midi et soir</t>
  </si>
  <si>
    <r>
      <rPr>
        <b/>
        <sz val="14"/>
        <color theme="1"/>
        <rFont val="Calibri"/>
        <family val="2"/>
        <scheme val="minor"/>
      </rPr>
      <t>Midi :</t>
    </r>
    <r>
      <rPr>
        <sz val="14"/>
        <color theme="1"/>
        <rFont val="Calibri"/>
        <family val="2"/>
        <scheme val="minor"/>
      </rPr>
      <t xml:space="preserve"> 11h20 à 12h05 OU 12h15 à 13h00</t>
    </r>
  </si>
  <si>
    <t>TOTAL (hors rabais fratrie)</t>
  </si>
  <si>
    <t xml:space="preserve">Nb Enfant </t>
  </si>
  <si>
    <t>Par type d'accueil</t>
  </si>
  <si>
    <t>Définir les horaires d'accueil</t>
  </si>
  <si>
    <t>Caracteristique</t>
  </si>
  <si>
    <t>Heures AFJ</t>
  </si>
  <si>
    <t>en utilisant le menu déroulant.</t>
  </si>
  <si>
    <t>Age</t>
  </si>
  <si>
    <t>0-12 mois</t>
  </si>
  <si>
    <t>1-4 ans</t>
  </si>
  <si>
    <t>4-8 ans</t>
  </si>
  <si>
    <t>8-12 ans</t>
  </si>
  <si>
    <t>Cela permet de calculer le prix des repas.</t>
  </si>
  <si>
    <t>Petit-déj. + goûter du mat.</t>
  </si>
  <si>
    <t>Petit-déj. + goûter du mat. + repas</t>
  </si>
  <si>
    <t>Petit-déj. + goûter du mat. + repas + goûter</t>
  </si>
  <si>
    <t>Goûter du mat. + repas</t>
  </si>
  <si>
    <t>Goûter du mat. + repas + goûter</t>
  </si>
  <si>
    <t>Repas + goûter</t>
  </si>
  <si>
    <t>Le montant annuel est lissé sur 12 mois.</t>
  </si>
  <si>
    <t>Facturation lissée sur l'année, 12 factures mensuelles</t>
  </si>
  <si>
    <t>Le lien sur le calculateur pour préciser les besoins de garde</t>
  </si>
  <si>
    <t>Il est organisé en 3 parties, à suivre dans l'ordre :</t>
  </si>
  <si>
    <t>Une section à compléter avec les données de base</t>
  </si>
  <si>
    <t>➡️</t>
  </si>
  <si>
    <t>Action</t>
  </si>
  <si>
    <t>ID</t>
  </si>
  <si>
    <t>Version</t>
  </si>
  <si>
    <t>v2</t>
  </si>
  <si>
    <t>Calculateur &gt; corrigé les protections des cellules</t>
  </si>
  <si>
    <t>Tous &gt; Uniformisé le terme "tarif maximal"</t>
  </si>
  <si>
    <t>Statut</t>
  </si>
  <si>
    <t>Tarif maximal</t>
  </si>
  <si>
    <t>Bienvenue &gt; màj des captures d'écran</t>
  </si>
  <si>
    <t>ok</t>
  </si>
  <si>
    <t>Bienvenue sur le calculateur de l'AEE !</t>
  </si>
  <si>
    <r>
      <t xml:space="preserve">Il a pour but de vous </t>
    </r>
    <r>
      <rPr>
        <b/>
        <sz val="16"/>
        <color theme="1"/>
        <rFont val="Calibri"/>
        <family val="2"/>
        <scheme val="minor"/>
      </rPr>
      <t>aider à déterminer les tarifs</t>
    </r>
    <r>
      <rPr>
        <sz val="16"/>
        <color theme="1"/>
        <rFont val="Calibri"/>
        <family val="2"/>
        <scheme val="minor"/>
      </rPr>
      <t xml:space="preserve"> pour le placement de vos enfants dans les structures du Réseau Asse et Boiron.</t>
    </r>
  </si>
  <si>
    <t>subventions@asse-boiron.ch</t>
  </si>
  <si>
    <t>www.asse-boiron.ch</t>
  </si>
  <si>
    <t>commentaires</t>
  </si>
  <si>
    <t>Exempté d'impôts</t>
  </si>
  <si>
    <t>1. Domicile</t>
  </si>
  <si>
    <t>Si vous communiquez le revenu du ménage (section suivante)</t>
  </si>
  <si>
    <t>Le revenu déterminant (net) du ménage est calculé sur la base de tous les revenus annuels de toutes les personnes faisant ménage commun c’est-à-dire, vivant sous le même toit avec l’enfant, ayant ou pas un lien de parenté avec l’enfant. Il correspond au chiffre 100 de la déclaration d’impôt vaudoise auquel s’ajoutent toute rente, pensions alimentaires, allocations familiales, participation de l’employeur à l’assurance maladie, subsides à l’assurance maladie, prestations complémentaires familiales (PC Familles), aides individuelles au logement, revenus mobiliers et immobiliers, rendement de la fortune et pourcentage de la fortune imposable, etc. Pour les indépendant ou toute autre personne avec une situation différente, veuillez vous référer au règlement tarifaire.</t>
  </si>
  <si>
    <t>Si vous choisissez "Autres communes", ne remplissez pas les autres sections. Le tarif maximal est appliqué.</t>
  </si>
  <si>
    <t>Case à cocher</t>
  </si>
  <si>
    <t>Valeur</t>
  </si>
  <si>
    <t>Revenus effectifs</t>
  </si>
  <si>
    <t>Ne remplir que si vous avez coché "Revenus effectifs"</t>
  </si>
  <si>
    <t>Revenu annuel net du ménage</t>
  </si>
  <si>
    <t>Enfant Q</t>
  </si>
  <si>
    <t>Enfant R</t>
  </si>
  <si>
    <t>Enfant S</t>
  </si>
  <si>
    <t>Enfant T</t>
  </si>
  <si>
    <t>Calculateur &gt; corrigé la dénomination des enfants</t>
  </si>
  <si>
    <t>Résumé &gt; sorti Accueils vacances du calcul</t>
  </si>
  <si>
    <t>Résumé &gt; ajouté texte revenu déterminant</t>
  </si>
  <si>
    <t>Résumé &gt; ajouté option case à cocher exempté d'impôts</t>
  </si>
  <si>
    <t>Bienvenue &gt; réduit la taille pour s'assurer un affichage complet en 100%</t>
  </si>
  <si>
    <t>Bienvenue &gt; adapté les textes selon le doc de test v1</t>
  </si>
  <si>
    <t>Calculateur &gt; AFJ &gt; segmentation 38 et 46 semaines de contrat</t>
  </si>
  <si>
    <t>Calculateur &gt; UAPE 1-6P &gt; corrigé les totaux</t>
  </si>
  <si>
    <t>Type de contrat</t>
  </si>
  <si>
    <t>38 semaines</t>
  </si>
  <si>
    <t>46 semaines</t>
  </si>
  <si>
    <t>AFJ &gt; contrat</t>
  </si>
  <si>
    <t>sur 38 ou 46 semaines (ligne 73)</t>
  </si>
  <si>
    <t>Entrez d'abord l'âge (ligne 72).</t>
  </si>
  <si>
    <t xml:space="preserve">Choisissez si le contrat est effectué </t>
  </si>
  <si>
    <t>Calculateur &gt; changer les liens sur le règlement en ligne</t>
  </si>
  <si>
    <t>Tarifs 2027 &gt; en attendant, laisser 2026 et mettre à jour lorsque la page est disponible</t>
  </si>
  <si>
    <t>Calculateur &gt; AFJ &gt; déplacer case vide dans choix repas en haut de la liste</t>
  </si>
  <si>
    <t>Les revenus ne sont pas pris en compte pour les familles qui sélectionnent « tarif maximal », « autres communes » ou 
« exemptés d’impôts ». Le tarif maximal est donc appliqué, avec le rabais fratrie le cas échéant.</t>
  </si>
  <si>
    <t>2. Choix du mode de déclaration fiscale</t>
  </si>
  <si>
    <t>Si vous ne souhaitez pas indiquer le revenu</t>
  </si>
  <si>
    <t>AJF - prix du repas / tranche d'âge</t>
  </si>
  <si>
    <t>Pour plus d’informations, se référer au règlement tarifaire qui se trouve sur notre site internet :</t>
  </si>
  <si>
    <t>En cas de questions supplémentaires, n'hésitez pas à nous contacter à :</t>
  </si>
  <si>
    <t>Concernant les subventions, veuillez vous adresser directement à :</t>
  </si>
  <si>
    <t>Bienvenue &gt; adapté les textes selon le doc de test v2</t>
  </si>
  <si>
    <t>Si le ménage est exempté d'impôts</t>
  </si>
  <si>
    <t>Résumé &gt; corrections textes selon doc de test v2</t>
  </si>
  <si>
    <t>v3</t>
  </si>
  <si>
    <t>Rabais fratrie,
dès 2 enfants placés dans notre Réseau</t>
  </si>
  <si>
    <t>Les Accueils Vacances sont ponctuels et facturés à la semaine. Le rabais fratrie de 20% est appliqué automatiquement cas échéant.</t>
  </si>
  <si>
    <t>Ce montant ne comprend pas un éventuel rabais fratrie. Les Accueils Vacances sont ponctuels et facturés à la semaine. Le rabais fratrie de 20% est appliqué automatiquement cas échéant.</t>
  </si>
  <si>
    <t>Lien sur le règlement tarifaire au 1.1.2027</t>
  </si>
  <si>
    <t>Revenu déterminant net annuel du ménage</t>
  </si>
  <si>
    <t>Calculateur &gt; texte sur le lien du règlement tarifaire</t>
  </si>
  <si>
    <t>que les horaires d'accueil sont compris</t>
  </si>
  <si>
    <t>Sélectionnez les repas souhaités,</t>
  </si>
  <si>
    <t>EXPLICATIONS</t>
  </si>
  <si>
    <t>Spécificités du mercredi</t>
  </si>
  <si>
    <t>Entrez le nombre d'heures d'accueil</t>
  </si>
  <si>
    <r>
      <rPr>
        <b/>
        <sz val="14"/>
        <color theme="1"/>
        <rFont val="Calibri"/>
        <family val="2"/>
        <scheme val="minor"/>
      </rPr>
      <t>souhaitées pour la journée</t>
    </r>
    <r>
      <rPr>
        <sz val="14"/>
        <color theme="1"/>
        <rFont val="Calibri"/>
        <family val="2"/>
        <scheme val="minor"/>
      </rPr>
      <t>, sachant</t>
    </r>
  </si>
  <si>
    <t>entre 07:00 et 19:00</t>
  </si>
  <si>
    <t>Vous devez entrer les heures au 1/4 près,</t>
  </si>
  <si>
    <t>exemple : 03:45, 06:15, 07:00</t>
  </si>
  <si>
    <t>Lien sur le règlement tarifaire</t>
  </si>
  <si>
    <t>v4</t>
  </si>
  <si>
    <t>v5</t>
  </si>
  <si>
    <t>AFJ &gt; remplacer heures de départ et arrivées par heures d'accueil calculées</t>
  </si>
  <si>
    <r>
      <rPr>
        <b/>
        <sz val="14"/>
        <color theme="1"/>
        <rFont val="Calibri"/>
        <family val="2"/>
        <scheme val="minor"/>
      </rPr>
      <t>Soir :</t>
    </r>
    <r>
      <rPr>
        <sz val="14"/>
        <color theme="1"/>
        <rFont val="Calibri"/>
        <family val="2"/>
        <scheme val="minor"/>
      </rPr>
      <t xml:space="preserve"> 14h45 à 18h30</t>
    </r>
  </si>
  <si>
    <r>
      <rPr>
        <b/>
        <sz val="14"/>
        <color theme="1"/>
        <rFont val="Calibri"/>
        <family val="2"/>
        <scheme val="minor"/>
      </rPr>
      <t>Mercredi :</t>
    </r>
    <r>
      <rPr>
        <sz val="14"/>
        <color theme="1"/>
        <rFont val="Calibri"/>
        <family val="2"/>
        <scheme val="minor"/>
      </rPr>
      <t xml:space="preserve"> fermé</t>
    </r>
  </si>
  <si>
    <r>
      <rPr>
        <i/>
        <u/>
        <sz val="14"/>
        <color theme="1"/>
        <rFont val="Calibri (Body)"/>
      </rPr>
      <t>Après avoir pris connaissance de la partie ci-dessous</t>
    </r>
    <r>
      <rPr>
        <i/>
        <sz val="14"/>
        <color theme="1"/>
        <rFont val="Calibri"/>
        <family val="2"/>
        <scheme val="minor"/>
      </rPr>
      <t xml:space="preserve">, cliquez sur "démarrer" pour commencer </t>
    </r>
  </si>
  <si>
    <t>Résumé &gt; ajouter sécurité si manque revenu effectif &gt; NA</t>
  </si>
  <si>
    <t>v7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</si>
</sst>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 #,##0_ ;_ * \-#,##0_ ;_ * &quot;-&quot;??_ ;_ @_ "/>
    <numFmt numFmtId="166" formatCode="[h]:mm"/>
    <numFmt numFmtId="167" formatCode="0.0%"/>
  </numFmts>
  <fonts count="74">
    <font>
      <sz val="12"/>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1"/>
      <color theme="1"/>
      <name val="Calibri"/>
      <family val="2"/>
      <scheme val="minor"/>
    </font>
    <font>
      <b/>
      <sz val="12"/>
      <name val="Calibri"/>
      <family val="2"/>
      <scheme val="minor"/>
    </font>
    <font>
      <b/>
      <sz val="26"/>
      <color theme="0"/>
      <name val="Calibri"/>
      <family val="2"/>
      <scheme val="minor"/>
    </font>
    <font>
      <sz val="8"/>
      <name val="Calibri"/>
      <family val="2"/>
      <scheme val="minor"/>
    </font>
    <font>
      <i/>
      <sz val="11"/>
      <color theme="1"/>
      <name val="Calibri"/>
      <family val="2"/>
      <scheme val="minor"/>
    </font>
    <font>
      <sz val="14"/>
      <color theme="1"/>
      <name val="Calibri"/>
      <family val="2"/>
      <scheme val="minor"/>
    </font>
    <font>
      <b/>
      <sz val="14"/>
      <name val="Calibri"/>
      <family val="2"/>
      <scheme val="minor"/>
    </font>
    <font>
      <b/>
      <sz val="18"/>
      <color theme="1"/>
      <name val="Calibri"/>
      <family val="2"/>
      <scheme val="minor"/>
    </font>
    <font>
      <sz val="18"/>
      <color theme="1"/>
      <name val="Calibri"/>
      <family val="2"/>
      <scheme val="minor"/>
    </font>
    <font>
      <b/>
      <sz val="20"/>
      <color theme="5"/>
      <name val="Calibri"/>
      <family val="2"/>
      <scheme val="minor"/>
    </font>
    <font>
      <i/>
      <sz val="12"/>
      <color theme="1"/>
      <name val="Calibri"/>
      <family val="2"/>
      <scheme val="minor"/>
    </font>
    <font>
      <sz val="16"/>
      <color theme="1"/>
      <name val="Calibri"/>
      <family val="2"/>
      <scheme val="minor"/>
    </font>
    <font>
      <b/>
      <sz val="16"/>
      <color theme="1"/>
      <name val="Calibri"/>
      <family val="2"/>
      <scheme val="minor"/>
    </font>
    <font>
      <i/>
      <sz val="14"/>
      <color theme="1"/>
      <name val="Calibri"/>
      <family val="2"/>
      <scheme val="minor"/>
    </font>
    <font>
      <i/>
      <sz val="16"/>
      <color theme="1"/>
      <name val="Calibri"/>
      <family val="2"/>
      <scheme val="minor"/>
    </font>
    <font>
      <b/>
      <sz val="28"/>
      <color theme="0"/>
      <name val="Calibri"/>
      <family val="2"/>
      <scheme val="minor"/>
    </font>
    <font>
      <b/>
      <sz val="14"/>
      <color theme="7"/>
      <name val="Calibri"/>
      <family val="2"/>
      <scheme val="minor"/>
    </font>
    <font>
      <b/>
      <i/>
      <sz val="14"/>
      <color theme="1"/>
      <name val="Calibri"/>
      <family val="2"/>
      <scheme val="minor"/>
    </font>
    <font>
      <sz val="14"/>
      <name val="Calibri"/>
      <family val="2"/>
      <scheme val="minor"/>
    </font>
    <font>
      <sz val="11"/>
      <color theme="1" tint="0.34998626667073579"/>
      <name val="Calibri"/>
      <family val="2"/>
      <scheme val="minor"/>
    </font>
    <font>
      <u/>
      <sz val="18"/>
      <color theme="1"/>
      <name val="Calibri"/>
      <family val="2"/>
      <scheme val="minor"/>
    </font>
    <font>
      <b/>
      <sz val="12"/>
      <color theme="0"/>
      <name val="Calibri"/>
      <family val="2"/>
      <scheme val="minor"/>
    </font>
    <font>
      <b/>
      <sz val="22"/>
      <name val="Calibri"/>
      <family val="2"/>
      <scheme val="minor"/>
    </font>
    <font>
      <b/>
      <sz val="14"/>
      <color rgb="FF0070C0"/>
      <name val="Calibri"/>
      <family val="2"/>
      <scheme val="minor"/>
    </font>
    <font>
      <b/>
      <sz val="14"/>
      <color theme="6"/>
      <name val="Calibri"/>
      <family val="2"/>
      <scheme val="minor"/>
    </font>
    <font>
      <b/>
      <sz val="14"/>
      <color rgb="FF7030A0"/>
      <name val="Calibri"/>
      <family val="2"/>
      <scheme val="minor"/>
    </font>
    <font>
      <b/>
      <sz val="30"/>
      <color theme="0"/>
      <name val="Calibri"/>
      <family val="2"/>
      <scheme val="minor"/>
    </font>
    <font>
      <b/>
      <sz val="14"/>
      <color rgb="FFFF0000"/>
      <name val="Calibri"/>
      <family val="2"/>
      <scheme val="minor"/>
    </font>
    <font>
      <b/>
      <sz val="14"/>
      <color theme="1" tint="0.14999847407452621"/>
      <name val="Calibri"/>
      <family val="2"/>
      <scheme val="minor"/>
    </font>
    <font>
      <i/>
      <u/>
      <sz val="12"/>
      <color theme="1"/>
      <name val="Calibri"/>
      <family val="2"/>
      <scheme val="minor"/>
    </font>
    <font>
      <b/>
      <u/>
      <sz val="12"/>
      <color theme="0"/>
      <name val="Calibri"/>
      <family val="2"/>
      <scheme val="minor"/>
    </font>
    <font>
      <i/>
      <sz val="12"/>
      <color theme="1" tint="0.14999847407452621"/>
      <name val="Calibri"/>
      <family val="2"/>
      <scheme val="minor"/>
    </font>
    <font>
      <i/>
      <u/>
      <sz val="12"/>
      <color theme="1" tint="0.14999847407452621"/>
      <name val="Calibri"/>
      <family val="2"/>
      <scheme val="minor"/>
    </font>
    <font>
      <b/>
      <sz val="12"/>
      <color theme="1" tint="0.14999847407452621"/>
      <name val="Calibri"/>
      <family val="2"/>
      <scheme val="minor"/>
    </font>
    <font>
      <b/>
      <u/>
      <sz val="12"/>
      <color theme="1" tint="0.14999847407452621"/>
      <name val="Calibri"/>
      <family val="2"/>
      <scheme val="minor"/>
    </font>
    <font>
      <b/>
      <i/>
      <sz val="12"/>
      <color theme="1" tint="0.14999847407452621"/>
      <name val="Calibri"/>
      <family val="2"/>
      <scheme val="minor"/>
    </font>
    <font>
      <b/>
      <sz val="16"/>
      <color theme="1" tint="0.14999847407452621"/>
      <name val="Calibri"/>
      <family val="2"/>
      <scheme val="minor"/>
    </font>
    <font>
      <b/>
      <i/>
      <sz val="16"/>
      <color theme="1"/>
      <name val="Calibri"/>
      <family val="2"/>
      <scheme val="minor"/>
    </font>
    <font>
      <b/>
      <i/>
      <sz val="16"/>
      <color theme="5" tint="-0.249977111117893"/>
      <name val="Calibri"/>
      <family val="2"/>
      <scheme val="minor"/>
    </font>
    <font>
      <b/>
      <i/>
      <sz val="16"/>
      <color theme="1" tint="0.14999847407452621"/>
      <name val="Calibri"/>
      <family val="2"/>
      <scheme val="minor"/>
    </font>
    <font>
      <b/>
      <sz val="11"/>
      <color rgb="FFFF0000"/>
      <name val="Calibri"/>
      <family val="2"/>
      <scheme val="minor"/>
    </font>
    <font>
      <i/>
      <sz val="14"/>
      <color theme="1" tint="0.14999847407452621"/>
      <name val="Calibri"/>
      <family val="2"/>
      <scheme val="minor"/>
    </font>
    <font>
      <sz val="14"/>
      <color theme="1" tint="0.14999847407452621"/>
      <name val="Calibri"/>
      <family val="2"/>
      <scheme val="minor"/>
    </font>
    <font>
      <b/>
      <sz val="13"/>
      <color rgb="FFFF0000"/>
      <name val="Calibri"/>
      <family val="2"/>
      <scheme val="minor"/>
    </font>
    <font>
      <b/>
      <sz val="16"/>
      <color rgb="FFFF0000"/>
      <name val="Calibri"/>
      <family val="2"/>
      <scheme val="minor"/>
    </font>
    <font>
      <b/>
      <u/>
      <sz val="16"/>
      <color rgb="FFFF0000"/>
      <name val="Calibri"/>
      <family val="2"/>
      <scheme val="minor"/>
    </font>
    <font>
      <sz val="14"/>
      <color rgb="FFFF0000"/>
      <name val="Calibri"/>
      <family val="2"/>
      <scheme val="minor"/>
    </font>
    <font>
      <sz val="16"/>
      <color rgb="FFFF0000"/>
      <name val="Calibri"/>
      <family val="2"/>
      <scheme val="minor"/>
    </font>
    <font>
      <b/>
      <i/>
      <u/>
      <sz val="12"/>
      <color theme="1" tint="0.14999847407452621"/>
      <name val="Calibri"/>
      <family val="2"/>
      <scheme val="minor"/>
    </font>
    <font>
      <b/>
      <i/>
      <sz val="14"/>
      <color theme="1" tint="0.14999847407452621"/>
      <name val="Calibri"/>
      <family val="2"/>
      <scheme val="minor"/>
    </font>
    <font>
      <b/>
      <sz val="30"/>
      <name val="Calibri"/>
      <family val="2"/>
      <scheme val="minor"/>
    </font>
    <font>
      <b/>
      <i/>
      <sz val="16"/>
      <color theme="0"/>
      <name val="Calibri"/>
      <family val="2"/>
      <scheme val="minor"/>
    </font>
    <font>
      <b/>
      <i/>
      <u/>
      <sz val="16"/>
      <color theme="0"/>
      <name val="Calibri"/>
      <family val="2"/>
      <scheme val="minor"/>
    </font>
    <font>
      <b/>
      <u/>
      <sz val="16"/>
      <color theme="1" tint="0.14999847407452621"/>
      <name val="Calibri"/>
      <family val="2"/>
      <scheme val="minor"/>
    </font>
    <font>
      <b/>
      <sz val="14"/>
      <color rgb="FFFF9300"/>
      <name val="Calibri"/>
      <family val="2"/>
      <scheme val="minor"/>
    </font>
    <font>
      <i/>
      <sz val="10"/>
      <color theme="1"/>
      <name val="Calibri"/>
      <family val="2"/>
      <scheme val="minor"/>
    </font>
    <font>
      <i/>
      <sz val="8"/>
      <color theme="1"/>
      <name val="Calibri"/>
      <family val="2"/>
      <scheme val="minor"/>
    </font>
    <font>
      <sz val="8"/>
      <color theme="1"/>
      <name val="Calibri"/>
      <family val="2"/>
      <scheme val="minor"/>
    </font>
    <font>
      <u/>
      <sz val="16"/>
      <color theme="6" tint="0.39997558519241921"/>
      <name val="Calibri"/>
      <family val="2"/>
      <scheme val="minor"/>
    </font>
    <font>
      <i/>
      <u/>
      <sz val="14"/>
      <color theme="1"/>
      <name val="Calibri (Body)"/>
    </font>
    <font>
      <u/>
      <sz val="16"/>
      <color theme="6" tint="0.39994506668294322"/>
      <name val="Calibri"/>
      <family val="2"/>
      <scheme val="minor"/>
    </font>
    <font>
      <i/>
      <sz val="12"/>
      <color rgb="FFFFFDF2"/>
      <name val="Calibri"/>
      <family val="2"/>
      <scheme val="minor"/>
    </font>
    <font>
      <sz val="8"/>
      <color rgb="FFFFFDF2"/>
      <name val="Calibri"/>
      <family val="2"/>
      <scheme val="minor"/>
    </font>
    <font>
      <sz val="12.1"/>
      <color rgb="FF000000"/>
      <name val="Aptos Narrow"/>
      <family val="2"/>
    </font>
    <font>
      <sz val="12"/>
      <color rgb="FF000000"/>
      <name val="Aptos Narrow"/>
      <family val="2"/>
    </font>
    <font>
      <sz val="10"/>
      <color rgb="FFFFFDF2"/>
      <name val="Calibri"/>
      <family val="2"/>
      <scheme val="minor"/>
    </font>
    <font>
      <sz val="12"/>
      <color rgb="FFFFFDF2"/>
      <name val="Calibri"/>
      <family val="2"/>
      <scheme val="minor"/>
    </font>
    <font>
      <b/>
      <u/>
      <sz val="14"/>
      <color theme="1"/>
      <name val="Calibri"/>
      <family val="2"/>
      <scheme val="minor"/>
    </font>
    <font>
      <u/>
      <sz val="12"/>
      <color theme="6" tint="0.39994506668294322"/>
      <name val="Calibri"/>
      <family val="2"/>
      <scheme val="minor"/>
    </font>
    <font>
      <u/>
      <sz val="14"/>
      <color theme="6" tint="0.39994506668294322"/>
      <name val="Calibri"/>
      <family val="2"/>
      <scheme val="minor"/>
    </font>
  </fonts>
  <fills count="36">
    <fill>
      <patternFill patternType="none"/>
    </fill>
    <fill>
      <patternFill patternType="gray125"/>
    </fill>
    <fill>
      <patternFill patternType="solid">
        <fgColor theme="6" tint="0.79998168889431442"/>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2"/>
        <bgColor indexed="64"/>
      </patternFill>
    </fill>
    <fill>
      <patternFill patternType="solid">
        <fgColor theme="6"/>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4"/>
        <bgColor indexed="64"/>
      </patternFill>
    </fill>
    <fill>
      <patternFill patternType="solid">
        <fgColor theme="5"/>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E00"/>
        <bgColor indexed="64"/>
      </patternFill>
    </fill>
    <fill>
      <patternFill patternType="solid">
        <fgColor rgb="FFFFC000"/>
        <bgColor indexed="64"/>
      </patternFill>
    </fill>
    <fill>
      <patternFill patternType="solid">
        <fgColor rgb="FFE8A409"/>
        <bgColor indexed="64"/>
      </patternFill>
    </fill>
    <fill>
      <patternFill patternType="solid">
        <fgColor rgb="FFFFFDF2"/>
        <bgColor indexed="64"/>
      </patternFill>
    </fill>
    <fill>
      <patternFill patternType="solid">
        <fgColor theme="4" tint="0.59999389629810485"/>
        <bgColor indexed="64"/>
      </patternFill>
    </fill>
    <fill>
      <patternFill patternType="solid">
        <fgColor rgb="FF00B0F0"/>
        <bgColor indexed="64"/>
      </patternFill>
    </fill>
    <fill>
      <patternFill patternType="solid">
        <fgColor rgb="FFA4DBED"/>
        <bgColor indexed="64"/>
      </patternFill>
    </fill>
    <fill>
      <patternFill patternType="solid">
        <fgColor rgb="FF92D050"/>
        <bgColor indexed="64"/>
      </patternFill>
    </fill>
    <fill>
      <patternFill patternType="solid">
        <fgColor rgb="FFFF9300"/>
        <bgColor indexed="64"/>
      </patternFill>
    </fill>
    <fill>
      <patternFill patternType="solid">
        <fgColor rgb="FF7030A0"/>
        <bgColor indexed="64"/>
      </patternFill>
    </fill>
    <fill>
      <patternFill patternType="solid">
        <fgColor theme="8" tint="0.79998168889431442"/>
        <bgColor indexed="64"/>
      </patternFill>
    </fill>
    <fill>
      <patternFill patternType="solid">
        <fgColor rgb="FFF2F2F2"/>
        <bgColor indexed="64"/>
      </patternFill>
    </fill>
    <fill>
      <patternFill patternType="solid">
        <fgColor rgb="FF00DA63"/>
        <bgColor indexed="64"/>
      </patternFill>
    </fill>
    <fill>
      <patternFill patternType="solid">
        <fgColor rgb="FF00B050"/>
        <bgColor indexed="64"/>
      </patternFill>
    </fill>
    <fill>
      <patternFill patternType="solid">
        <fgColor theme="9" tint="0.79998168889431442"/>
        <bgColor indexed="64"/>
      </patternFill>
    </fill>
    <fill>
      <patternFill patternType="solid">
        <fgColor rgb="FFB668A5"/>
        <bgColor indexed="64"/>
      </patternFill>
    </fill>
    <fill>
      <patternFill patternType="solid">
        <fgColor rgb="FFD7ADCE"/>
        <bgColor indexed="64"/>
      </patternFill>
    </fill>
    <fill>
      <patternFill patternType="solid">
        <fgColor theme="0" tint="-0.249977111117893"/>
        <bgColor indexed="64"/>
      </patternFill>
    </fill>
    <fill>
      <patternFill patternType="solid">
        <fgColor theme="1" tint="0.499984740745262"/>
        <bgColor indexed="64"/>
      </patternFill>
    </fill>
  </fills>
  <borders count="4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indexed="64"/>
      </right>
      <top style="thin">
        <color indexed="64"/>
      </top>
      <bottom style="thin">
        <color indexed="64"/>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34998626667073579"/>
      </top>
      <bottom style="thin">
        <color theme="1" tint="0.34998626667073579"/>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style="thin">
        <color theme="1" tint="0.34998626667073579"/>
      </top>
      <bottom style="thin">
        <color theme="1"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indexed="64"/>
      </right>
      <top/>
      <bottom style="thin">
        <color indexed="64"/>
      </bottom>
      <diagonal/>
    </border>
    <border>
      <left style="medium">
        <color rgb="FFE8A409"/>
      </left>
      <right style="medium">
        <color rgb="FFE8A409"/>
      </right>
      <top style="medium">
        <color rgb="FFE8A409"/>
      </top>
      <bottom style="medium">
        <color rgb="FFE8A409"/>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right style="thick">
        <color rgb="FFC00000"/>
      </right>
      <top/>
      <bottom style="thin">
        <color indexed="64"/>
      </bottom>
      <diagonal/>
    </border>
    <border>
      <left/>
      <right style="thin">
        <color indexed="64"/>
      </right>
      <top/>
      <bottom style="thin">
        <color indexed="64"/>
      </bottom>
      <diagonal/>
    </border>
    <border>
      <left style="thin">
        <color indexed="64"/>
      </left>
      <right style="thick">
        <color rgb="FFC00000"/>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rgb="FFC00000"/>
      </right>
      <top style="thin">
        <color indexed="64"/>
      </top>
      <bottom style="thin">
        <color indexed="64"/>
      </bottom>
      <diagonal/>
    </border>
    <border>
      <left/>
      <right style="thick">
        <color rgb="FFC00000"/>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right style="thick">
        <color rgb="FFC00000"/>
      </right>
      <top style="thin">
        <color indexed="64"/>
      </top>
      <bottom style="medium">
        <color indexed="64"/>
      </bottom>
      <diagonal/>
    </border>
    <border>
      <left style="thin">
        <color indexed="64"/>
      </left>
      <right style="thick">
        <color rgb="FFC00000"/>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rgb="FFC00000"/>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164" fontId="4" fillId="0" borderId="0" applyFont="0" applyFill="0" applyBorder="0" applyAlignment="0" applyProtection="0"/>
    <xf numFmtId="0" fontId="64" fillId="0" borderId="0" applyNumberFormat="0" applyFill="0" applyAlignment="0" applyProtection="0"/>
    <xf numFmtId="0" fontId="64" fillId="0" borderId="0" applyNumberFormat="0" applyFill="0" applyBorder="0" applyAlignment="0" applyProtection="0"/>
  </cellStyleXfs>
  <cellXfs count="336">
    <xf numFmtId="0" fontId="0" fillId="0" borderId="0" xfId="0"/>
    <xf numFmtId="0" fontId="2" fillId="0" borderId="0" xfId="0" applyFont="1"/>
    <xf numFmtId="0" fontId="0" fillId="3" borderId="0" xfId="0" applyFill="1"/>
    <xf numFmtId="0" fontId="2" fillId="3" borderId="0" xfId="0" applyFont="1" applyFill="1"/>
    <xf numFmtId="0" fontId="8" fillId="3" borderId="0" xfId="0" applyFont="1" applyFill="1"/>
    <xf numFmtId="0" fontId="2" fillId="3" borderId="0" xfId="0" applyFont="1" applyFill="1" applyAlignment="1">
      <alignment horizontal="left" vertical="center"/>
    </xf>
    <xf numFmtId="0" fontId="9" fillId="0" borderId="0" xfId="0" applyFont="1"/>
    <xf numFmtId="0" fontId="12" fillId="0" borderId="0" xfId="0" applyFont="1" applyAlignment="1">
      <alignment vertical="center"/>
    </xf>
    <xf numFmtId="0" fontId="2" fillId="3" borderId="0" xfId="0" applyFont="1" applyFill="1" applyAlignment="1">
      <alignment horizontal="right"/>
    </xf>
    <xf numFmtId="164" fontId="3" fillId="8" borderId="9" xfId="1" applyFont="1" applyFill="1" applyBorder="1" applyAlignment="1">
      <alignment horizontal="center" vertical="center"/>
    </xf>
    <xf numFmtId="0" fontId="0" fillId="10" borderId="0" xfId="0" applyFill="1"/>
    <xf numFmtId="0" fontId="0" fillId="3" borderId="0" xfId="0" applyFill="1" applyAlignment="1">
      <alignment horizontal="left"/>
    </xf>
    <xf numFmtId="164" fontId="0" fillId="3" borderId="0" xfId="1" applyFont="1" applyFill="1"/>
    <xf numFmtId="0" fontId="0" fillId="0" borderId="0" xfId="0" applyAlignment="1">
      <alignment wrapText="1"/>
    </xf>
    <xf numFmtId="0" fontId="8" fillId="3" borderId="0" xfId="0" applyFont="1" applyFill="1" applyAlignment="1">
      <alignment wrapText="1"/>
    </xf>
    <xf numFmtId="164" fontId="0" fillId="3" borderId="0" xfId="1" applyFont="1" applyFill="1" applyAlignment="1">
      <alignment wrapText="1"/>
    </xf>
    <xf numFmtId="0" fontId="0" fillId="3" borderId="0" xfId="0" applyFill="1" applyAlignment="1">
      <alignment wrapText="1"/>
    </xf>
    <xf numFmtId="0" fontId="9" fillId="0" borderId="11" xfId="0" applyFont="1" applyBorder="1" applyAlignment="1" applyProtection="1">
      <alignment horizontal="center" vertical="center"/>
      <protection locked="0"/>
    </xf>
    <xf numFmtId="164" fontId="3" fillId="7" borderId="2" xfId="1" applyFont="1" applyFill="1" applyBorder="1" applyAlignment="1">
      <alignment horizontal="center" vertical="center"/>
    </xf>
    <xf numFmtId="164" fontId="3" fillId="7" borderId="9" xfId="1" applyFont="1" applyFill="1" applyBorder="1" applyAlignment="1">
      <alignment horizontal="center" vertical="center"/>
    </xf>
    <xf numFmtId="0" fontId="9" fillId="0" borderId="16" xfId="0" applyFont="1" applyBorder="1" applyAlignment="1" applyProtection="1">
      <alignment horizontal="right" vertical="center" wrapText="1"/>
      <protection locked="0"/>
    </xf>
    <xf numFmtId="20" fontId="17" fillId="7" borderId="18" xfId="1" applyNumberFormat="1" applyFont="1" applyFill="1" applyBorder="1"/>
    <xf numFmtId="164" fontId="9" fillId="7" borderId="17" xfId="1" applyFont="1" applyFill="1" applyBorder="1" applyAlignment="1">
      <alignment vertical="center" wrapText="1"/>
    </xf>
    <xf numFmtId="164" fontId="3" fillId="8" borderId="11" xfId="0" applyNumberFormat="1" applyFont="1" applyFill="1" applyBorder="1"/>
    <xf numFmtId="164" fontId="3" fillId="8" borderId="10" xfId="1" applyFont="1" applyFill="1" applyBorder="1"/>
    <xf numFmtId="49" fontId="9" fillId="11" borderId="22" xfId="1" applyNumberFormat="1" applyFont="1" applyFill="1" applyBorder="1" applyAlignment="1" applyProtection="1">
      <alignment horizontal="right" vertical="center"/>
      <protection locked="0"/>
    </xf>
    <xf numFmtId="164" fontId="9" fillId="11" borderId="22" xfId="1" applyFont="1" applyFill="1" applyBorder="1" applyAlignment="1" applyProtection="1">
      <alignment vertical="center"/>
      <protection locked="0"/>
    </xf>
    <xf numFmtId="0" fontId="0" fillId="3" borderId="0" xfId="0" applyFill="1" applyAlignment="1">
      <alignment horizontal="right"/>
    </xf>
    <xf numFmtId="166" fontId="3" fillId="7" borderId="2" xfId="1" applyNumberFormat="1" applyFont="1" applyFill="1" applyBorder="1" applyAlignment="1">
      <alignment horizontal="right" vertical="center"/>
    </xf>
    <xf numFmtId="0" fontId="15" fillId="19" borderId="0" xfId="0" applyFont="1" applyFill="1"/>
    <xf numFmtId="0" fontId="26" fillId="17" borderId="24" xfId="4" applyFont="1" applyFill="1" applyBorder="1" applyAlignment="1">
      <alignment horizontal="center" vertical="center"/>
    </xf>
    <xf numFmtId="0" fontId="15" fillId="20" borderId="0" xfId="0" applyFont="1" applyFill="1"/>
    <xf numFmtId="0" fontId="16" fillId="20" borderId="0" xfId="0" applyFont="1" applyFill="1"/>
    <xf numFmtId="0" fontId="64" fillId="20" borderId="0" xfId="4" applyFill="1"/>
    <xf numFmtId="0" fontId="0" fillId="20" borderId="0" xfId="0" applyFill="1"/>
    <xf numFmtId="0" fontId="11" fillId="20" borderId="13" xfId="0" applyFont="1" applyFill="1" applyBorder="1" applyAlignment="1">
      <alignment horizontal="left" vertical="center"/>
    </xf>
    <xf numFmtId="0" fontId="3" fillId="20" borderId="0" xfId="0" applyFont="1" applyFill="1"/>
    <xf numFmtId="0" fontId="9" fillId="20" borderId="0" xfId="0" applyFont="1" applyFill="1"/>
    <xf numFmtId="164" fontId="9" fillId="20" borderId="0" xfId="1" applyFont="1" applyFill="1"/>
    <xf numFmtId="0" fontId="9" fillId="20" borderId="0" xfId="0" applyFont="1" applyFill="1" applyAlignment="1">
      <alignment horizontal="left" indent="1"/>
    </xf>
    <xf numFmtId="164" fontId="9" fillId="20" borderId="0" xfId="0" applyNumberFormat="1" applyFont="1" applyFill="1"/>
    <xf numFmtId="0" fontId="2" fillId="20" borderId="0" xfId="0" applyFont="1" applyFill="1"/>
    <xf numFmtId="164" fontId="3" fillId="20" borderId="0" xfId="0" applyNumberFormat="1" applyFont="1" applyFill="1"/>
    <xf numFmtId="9" fontId="3" fillId="20" borderId="0" xfId="2" applyFont="1" applyFill="1"/>
    <xf numFmtId="0" fontId="12" fillId="20" borderId="0" xfId="0" applyFont="1" applyFill="1" applyAlignment="1">
      <alignment vertical="center"/>
    </xf>
    <xf numFmtId="0" fontId="9" fillId="20" borderId="0" xfId="0" applyFont="1" applyFill="1" applyAlignment="1">
      <alignment vertical="center"/>
    </xf>
    <xf numFmtId="0" fontId="14" fillId="20" borderId="0" xfId="0" applyFont="1" applyFill="1" applyAlignment="1">
      <alignment horizontal="left" vertical="center" indent="1"/>
    </xf>
    <xf numFmtId="164" fontId="14" fillId="20" borderId="0" xfId="0" applyNumberFormat="1" applyFont="1" applyFill="1" applyAlignment="1">
      <alignment horizontal="left" vertical="center" indent="1"/>
    </xf>
    <xf numFmtId="0" fontId="3" fillId="20" borderId="0" xfId="0" applyFont="1" applyFill="1" applyAlignment="1">
      <alignment vertical="center"/>
    </xf>
    <xf numFmtId="0" fontId="0" fillId="20" borderId="13" xfId="0" applyFill="1" applyBorder="1"/>
    <xf numFmtId="0" fontId="0" fillId="20" borderId="0" xfId="0" applyFill="1" applyAlignment="1">
      <alignment horizontal="right"/>
    </xf>
    <xf numFmtId="164" fontId="10" fillId="17" borderId="11" xfId="1" applyFont="1" applyFill="1" applyBorder="1" applyAlignment="1">
      <alignment horizontal="right" vertical="center"/>
    </xf>
    <xf numFmtId="0" fontId="10" fillId="17" borderId="14" xfId="4" applyFont="1" applyFill="1" applyBorder="1" applyAlignment="1">
      <alignment horizontal="center" vertical="center"/>
    </xf>
    <xf numFmtId="164" fontId="3" fillId="17" borderId="9" xfId="1" applyFont="1" applyFill="1" applyBorder="1" applyAlignment="1">
      <alignment horizontal="center" vertical="center"/>
    </xf>
    <xf numFmtId="165" fontId="0" fillId="10" borderId="0" xfId="1" applyNumberFormat="1" applyFont="1" applyFill="1"/>
    <xf numFmtId="0" fontId="12" fillId="10" borderId="0" xfId="0" applyFont="1" applyFill="1" applyAlignment="1">
      <alignment vertical="center"/>
    </xf>
    <xf numFmtId="0" fontId="24" fillId="10" borderId="0" xfId="0" applyFont="1" applyFill="1" applyAlignment="1">
      <alignment vertical="center"/>
    </xf>
    <xf numFmtId="0" fontId="14" fillId="20" borderId="0" xfId="0" applyFont="1" applyFill="1" applyAlignment="1">
      <alignment horizontal="left" indent="1"/>
    </xf>
    <xf numFmtId="0" fontId="13" fillId="20" borderId="0" xfId="0" applyFont="1" applyFill="1"/>
    <xf numFmtId="0" fontId="10" fillId="20" borderId="0" xfId="0" applyFont="1" applyFill="1" applyAlignment="1">
      <alignment horizontal="center"/>
    </xf>
    <xf numFmtId="0" fontId="3" fillId="20" borderId="0" xfId="0" applyFont="1" applyFill="1" applyAlignment="1">
      <alignment horizontal="center"/>
    </xf>
    <xf numFmtId="0" fontId="14" fillId="20" borderId="0" xfId="0" applyFont="1" applyFill="1" applyAlignment="1">
      <alignment vertical="center"/>
    </xf>
    <xf numFmtId="0" fontId="2" fillId="20" borderId="0" xfId="0" applyFont="1" applyFill="1" applyAlignment="1">
      <alignment vertical="center"/>
    </xf>
    <xf numFmtId="164" fontId="2" fillId="20" borderId="0" xfId="1" applyFont="1" applyFill="1" applyBorder="1" applyAlignment="1">
      <alignment horizontal="center" vertical="center"/>
    </xf>
    <xf numFmtId="0" fontId="0" fillId="20" borderId="0" xfId="0" applyFill="1" applyAlignment="1">
      <alignment horizontal="left"/>
    </xf>
    <xf numFmtId="164" fontId="3" fillId="20" borderId="0" xfId="1" applyFont="1" applyFill="1" applyBorder="1" applyAlignment="1">
      <alignment horizontal="center" vertical="center"/>
    </xf>
    <xf numFmtId="164" fontId="3" fillId="21" borderId="2" xfId="1" applyFont="1" applyFill="1" applyBorder="1" applyAlignment="1">
      <alignment horizontal="center" vertical="center"/>
    </xf>
    <xf numFmtId="164" fontId="9" fillId="21" borderId="10" xfId="1" applyFont="1" applyFill="1" applyBorder="1"/>
    <xf numFmtId="0" fontId="20" fillId="20" borderId="0" xfId="0" applyFont="1" applyFill="1" applyAlignment="1">
      <alignment vertical="center"/>
    </xf>
    <xf numFmtId="0" fontId="3" fillId="20" borderId="0" xfId="0" applyFont="1" applyFill="1" applyAlignment="1">
      <alignment horizontal="left" indent="4"/>
    </xf>
    <xf numFmtId="0" fontId="9" fillId="20" borderId="0" xfId="0" applyFont="1" applyFill="1" applyAlignment="1">
      <alignment horizontal="left" indent="6"/>
    </xf>
    <xf numFmtId="0" fontId="0" fillId="20" borderId="0" xfId="0" applyFill="1" applyAlignment="1">
      <alignment wrapText="1"/>
    </xf>
    <xf numFmtId="0" fontId="9" fillId="20" borderId="0" xfId="0" applyFont="1" applyFill="1" applyAlignment="1">
      <alignment horizontal="left" vertical="center" wrapText="1" indent="6"/>
    </xf>
    <xf numFmtId="164" fontId="3" fillId="23" borderId="11" xfId="1" applyFont="1" applyFill="1" applyBorder="1" applyAlignment="1">
      <alignment horizontal="right" vertical="center"/>
    </xf>
    <xf numFmtId="164" fontId="3" fillId="23" borderId="10" xfId="1" applyFont="1" applyFill="1" applyBorder="1" applyAlignment="1">
      <alignment horizontal="right" vertical="center"/>
    </xf>
    <xf numFmtId="164" fontId="9" fillId="23" borderId="10" xfId="1" applyFont="1" applyFill="1" applyBorder="1"/>
    <xf numFmtId="0" fontId="9" fillId="23" borderId="20" xfId="0" applyFont="1" applyFill="1" applyBorder="1" applyAlignment="1">
      <alignment vertical="center"/>
    </xf>
    <xf numFmtId="0" fontId="21" fillId="23" borderId="20" xfId="0" applyFont="1" applyFill="1" applyBorder="1" applyAlignment="1">
      <alignment vertical="center"/>
    </xf>
    <xf numFmtId="0" fontId="9" fillId="23" borderId="20" xfId="0" applyFont="1" applyFill="1" applyBorder="1"/>
    <xf numFmtId="0" fontId="23" fillId="23" borderId="21" xfId="0" applyFont="1" applyFill="1" applyBorder="1"/>
    <xf numFmtId="164" fontId="3" fillId="23" borderId="9" xfId="1" applyFont="1" applyFill="1" applyBorder="1" applyAlignment="1">
      <alignment horizontal="center" vertical="center"/>
    </xf>
    <xf numFmtId="0" fontId="9" fillId="2" borderId="20" xfId="0" applyFont="1" applyFill="1" applyBorder="1"/>
    <xf numFmtId="0" fontId="9" fillId="2" borderId="21" xfId="0" applyFont="1" applyFill="1" applyBorder="1"/>
    <xf numFmtId="164" fontId="9" fillId="2" borderId="10" xfId="1" applyFont="1" applyFill="1" applyBorder="1"/>
    <xf numFmtId="164" fontId="22" fillId="2" borderId="10" xfId="1" applyFont="1" applyFill="1" applyBorder="1" applyProtection="1"/>
    <xf numFmtId="164" fontId="3" fillId="2" borderId="2" xfId="1" applyFont="1" applyFill="1" applyBorder="1" applyAlignment="1">
      <alignment horizontal="center" vertical="center"/>
    </xf>
    <xf numFmtId="0" fontId="27" fillId="20" borderId="0" xfId="0" applyFont="1" applyFill="1" applyAlignment="1">
      <alignment vertical="center"/>
    </xf>
    <xf numFmtId="0" fontId="28" fillId="20" borderId="0" xfId="0" applyFont="1" applyFill="1" applyAlignment="1">
      <alignment vertical="center"/>
    </xf>
    <xf numFmtId="0" fontId="29" fillId="20" borderId="0" xfId="0" applyFont="1" applyFill="1" applyAlignment="1">
      <alignment vertical="center"/>
    </xf>
    <xf numFmtId="164" fontId="9" fillId="27" borderId="10" xfId="1" applyFont="1" applyFill="1" applyBorder="1"/>
    <xf numFmtId="164" fontId="3" fillId="27" borderId="9" xfId="1" applyFont="1" applyFill="1" applyBorder="1" applyAlignment="1">
      <alignment horizontal="center" vertical="center"/>
    </xf>
    <xf numFmtId="0" fontId="31" fillId="0" borderId="28" xfId="0" applyFont="1" applyBorder="1" applyAlignment="1">
      <alignment horizontal="center" vertical="center"/>
    </xf>
    <xf numFmtId="0" fontId="14" fillId="5" borderId="23" xfId="0" applyFont="1" applyFill="1" applyBorder="1" applyAlignment="1">
      <alignment horizontal="center" vertical="center" wrapText="1"/>
    </xf>
    <xf numFmtId="0" fontId="25" fillId="13" borderId="29" xfId="0" applyFont="1" applyFill="1" applyBorder="1" applyAlignment="1">
      <alignment horizontal="center" vertical="center" wrapText="1"/>
    </xf>
    <xf numFmtId="0" fontId="35" fillId="5" borderId="2" xfId="0" applyFont="1" applyFill="1" applyBorder="1" applyAlignment="1">
      <alignment horizontal="center" vertical="center" wrapText="1"/>
    </xf>
    <xf numFmtId="0" fontId="37" fillId="7" borderId="29"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7" fillId="7" borderId="31" xfId="0" applyFont="1" applyFill="1" applyBorder="1" applyAlignment="1">
      <alignment horizontal="center" vertical="center" wrapText="1"/>
    </xf>
    <xf numFmtId="0" fontId="37" fillId="14" borderId="30" xfId="0" applyFont="1" applyFill="1" applyBorder="1" applyAlignment="1">
      <alignment horizontal="center" vertical="center" wrapText="1"/>
    </xf>
    <xf numFmtId="0" fontId="37" fillId="14" borderId="23" xfId="0" applyFont="1" applyFill="1" applyBorder="1" applyAlignment="1">
      <alignment horizontal="center" vertical="center" wrapText="1"/>
    </xf>
    <xf numFmtId="0" fontId="39" fillId="14" borderId="23" xfId="0" applyFont="1" applyFill="1" applyBorder="1" applyAlignment="1">
      <alignment horizontal="center" vertical="center" wrapText="1"/>
    </xf>
    <xf numFmtId="0" fontId="37" fillId="14" borderId="32" xfId="0" applyFont="1" applyFill="1" applyBorder="1" applyAlignment="1">
      <alignment horizontal="center" vertical="center" wrapText="1"/>
    </xf>
    <xf numFmtId="0" fontId="31" fillId="0" borderId="33" xfId="0" applyFont="1" applyBorder="1" applyAlignment="1">
      <alignment horizontal="center" vertical="center"/>
    </xf>
    <xf numFmtId="0" fontId="40" fillId="28" borderId="2" xfId="0" applyFont="1" applyFill="1" applyBorder="1" applyAlignment="1">
      <alignment horizontal="center" vertical="center" wrapText="1"/>
    </xf>
    <xf numFmtId="0" fontId="41" fillId="5" borderId="2" xfId="0" applyFont="1" applyFill="1" applyBorder="1" applyAlignment="1">
      <alignment horizontal="center" vertical="center" wrapText="1"/>
    </xf>
    <xf numFmtId="0" fontId="40" fillId="13" borderId="34" xfId="0" applyFont="1" applyFill="1" applyBorder="1" applyAlignment="1">
      <alignment horizontal="center" vertical="center" wrapText="1"/>
    </xf>
    <xf numFmtId="0" fontId="42" fillId="5" borderId="30" xfId="0" applyFont="1" applyFill="1" applyBorder="1" applyAlignment="1">
      <alignment horizontal="center" vertical="center" wrapText="1"/>
    </xf>
    <xf numFmtId="0" fontId="40" fillId="7" borderId="34" xfId="0" applyFont="1" applyFill="1" applyBorder="1" applyAlignment="1">
      <alignment horizontal="center" vertical="center" wrapText="1"/>
    </xf>
    <xf numFmtId="0" fontId="42" fillId="5" borderId="12" xfId="0" applyFont="1" applyFill="1" applyBorder="1" applyAlignment="1">
      <alignment horizontal="center" vertical="center" wrapText="1"/>
    </xf>
    <xf numFmtId="0" fontId="43" fillId="5" borderId="12" xfId="0" applyFont="1" applyFill="1" applyBorder="1" applyAlignment="1">
      <alignment horizontal="center" vertical="center" wrapText="1"/>
    </xf>
    <xf numFmtId="0" fontId="40" fillId="5" borderId="12" xfId="0" applyFont="1" applyFill="1" applyBorder="1" applyAlignment="1">
      <alignment horizontal="center" vertical="center" wrapText="1"/>
    </xf>
    <xf numFmtId="0" fontId="40" fillId="7" borderId="35" xfId="0" applyFont="1" applyFill="1" applyBorder="1" applyAlignment="1">
      <alignment horizontal="center" vertical="center" wrapText="1"/>
    </xf>
    <xf numFmtId="0" fontId="40" fillId="14" borderId="12" xfId="0" applyFont="1" applyFill="1" applyBorder="1" applyAlignment="1">
      <alignment vertical="center" wrapText="1"/>
    </xf>
    <xf numFmtId="0" fontId="40" fillId="14" borderId="2" xfId="0" applyFont="1" applyFill="1" applyBorder="1" applyAlignment="1">
      <alignment vertical="center" wrapText="1"/>
    </xf>
    <xf numFmtId="0" fontId="43" fillId="14" borderId="2" xfId="0" applyFont="1" applyFill="1" applyBorder="1" applyAlignment="1">
      <alignment horizontal="center" vertical="center" wrapText="1"/>
    </xf>
    <xf numFmtId="0" fontId="40" fillId="14" borderId="36" xfId="0" applyFont="1" applyFill="1" applyBorder="1" applyAlignment="1">
      <alignment horizontal="center" vertical="center" wrapText="1"/>
    </xf>
    <xf numFmtId="0" fontId="44" fillId="0" borderId="33" xfId="0" applyFont="1" applyBorder="1" applyAlignment="1">
      <alignment horizontal="center" vertical="center"/>
    </xf>
    <xf numFmtId="0" fontId="9" fillId="0" borderId="2" xfId="0" applyFont="1" applyBorder="1" applyAlignment="1">
      <alignment horizontal="center"/>
    </xf>
    <xf numFmtId="2" fontId="17" fillId="5" borderId="2" xfId="0" applyNumberFormat="1" applyFont="1" applyFill="1" applyBorder="1" applyAlignment="1">
      <alignment horizontal="center"/>
    </xf>
    <xf numFmtId="2" fontId="32" fillId="13" borderId="34" xfId="0" applyNumberFormat="1" applyFont="1" applyFill="1" applyBorder="1" applyAlignment="1">
      <alignment horizontal="center"/>
    </xf>
    <xf numFmtId="2" fontId="45" fillId="5" borderId="12" xfId="0" applyNumberFormat="1" applyFont="1" applyFill="1" applyBorder="1" applyAlignment="1">
      <alignment horizontal="center"/>
    </xf>
    <xf numFmtId="2" fontId="32" fillId="7" borderId="34" xfId="0" applyNumberFormat="1" applyFont="1" applyFill="1" applyBorder="1" applyAlignment="1">
      <alignment horizontal="center"/>
    </xf>
    <xf numFmtId="2" fontId="46" fillId="7" borderId="34" xfId="0" applyNumberFormat="1" applyFont="1" applyFill="1" applyBorder="1" applyAlignment="1">
      <alignment horizontal="center"/>
    </xf>
    <xf numFmtId="2" fontId="46" fillId="5" borderId="12" xfId="0" applyNumberFormat="1" applyFont="1" applyFill="1" applyBorder="1" applyAlignment="1">
      <alignment horizontal="center"/>
    </xf>
    <xf numFmtId="2" fontId="46" fillId="7" borderId="35" xfId="0" applyNumberFormat="1" applyFont="1" applyFill="1" applyBorder="1" applyAlignment="1">
      <alignment horizontal="center"/>
    </xf>
    <xf numFmtId="10" fontId="46" fillId="14" borderId="12" xfId="0" applyNumberFormat="1" applyFont="1" applyFill="1" applyBorder="1" applyAlignment="1">
      <alignment horizontal="center"/>
    </xf>
    <xf numFmtId="10" fontId="46" fillId="14" borderId="2" xfId="0" applyNumberFormat="1" applyFont="1" applyFill="1" applyBorder="1" applyAlignment="1">
      <alignment horizontal="center"/>
    </xf>
    <xf numFmtId="167" fontId="17" fillId="14" borderId="2" xfId="0" applyNumberFormat="1" applyFont="1" applyFill="1" applyBorder="1" applyAlignment="1">
      <alignment horizontal="center"/>
    </xf>
    <xf numFmtId="10" fontId="9" fillId="14" borderId="36" xfId="0" applyNumberFormat="1" applyFont="1" applyFill="1" applyBorder="1" applyAlignment="1">
      <alignment horizontal="center"/>
    </xf>
    <xf numFmtId="3" fontId="9" fillId="0" borderId="2" xfId="0" applyNumberFormat="1" applyFont="1" applyBorder="1" applyAlignment="1">
      <alignment horizontal="center"/>
    </xf>
    <xf numFmtId="3" fontId="46" fillId="0" borderId="2" xfId="0" applyNumberFormat="1" applyFont="1" applyBorder="1" applyAlignment="1">
      <alignment horizontal="center"/>
    </xf>
    <xf numFmtId="0" fontId="44" fillId="16" borderId="33" xfId="0" applyFont="1" applyFill="1" applyBorder="1" applyAlignment="1">
      <alignment horizontal="center" vertical="center"/>
    </xf>
    <xf numFmtId="3" fontId="31" fillId="16" borderId="2" xfId="0" applyNumberFormat="1" applyFont="1" applyFill="1" applyBorder="1" applyAlignment="1">
      <alignment horizontal="center" vertical="center"/>
    </xf>
    <xf numFmtId="3" fontId="48" fillId="16" borderId="2" xfId="0" applyNumberFormat="1" applyFont="1" applyFill="1" applyBorder="1" applyAlignment="1">
      <alignment horizontal="center" vertical="center" wrapText="1"/>
    </xf>
    <xf numFmtId="2" fontId="32" fillId="5" borderId="2" xfId="0" applyNumberFormat="1" applyFont="1" applyFill="1" applyBorder="1" applyAlignment="1">
      <alignment horizontal="center" vertical="center"/>
    </xf>
    <xf numFmtId="2" fontId="32" fillId="16" borderId="35" xfId="0" applyNumberFormat="1" applyFont="1" applyFill="1" applyBorder="1" applyAlignment="1">
      <alignment horizontal="center" vertical="center"/>
    </xf>
    <xf numFmtId="2" fontId="17" fillId="5" borderId="2" xfId="0" applyNumberFormat="1" applyFont="1" applyFill="1" applyBorder="1" applyAlignment="1">
      <alignment horizontal="center" vertical="center"/>
    </xf>
    <xf numFmtId="2" fontId="32" fillId="16" borderId="34" xfId="0" applyNumberFormat="1" applyFont="1" applyFill="1" applyBorder="1" applyAlignment="1">
      <alignment horizontal="center" vertical="center"/>
    </xf>
    <xf numFmtId="10" fontId="32" fillId="14" borderId="12" xfId="0" applyNumberFormat="1" applyFont="1" applyFill="1" applyBorder="1" applyAlignment="1">
      <alignment horizontal="center" vertical="center"/>
    </xf>
    <xf numFmtId="10" fontId="32" fillId="14" borderId="2" xfId="0" applyNumberFormat="1" applyFont="1" applyFill="1" applyBorder="1" applyAlignment="1">
      <alignment horizontal="center" vertical="center"/>
    </xf>
    <xf numFmtId="167" fontId="21" fillId="14" borderId="2" xfId="0" applyNumberFormat="1" applyFont="1" applyFill="1" applyBorder="1" applyAlignment="1">
      <alignment horizontal="center" vertical="center"/>
    </xf>
    <xf numFmtId="10" fontId="3" fillId="14" borderId="36" xfId="0" applyNumberFormat="1" applyFont="1" applyFill="1" applyBorder="1" applyAlignment="1">
      <alignment horizontal="center" vertical="center"/>
    </xf>
    <xf numFmtId="0" fontId="44" fillId="18" borderId="37" xfId="0" applyFont="1" applyFill="1" applyBorder="1" applyAlignment="1">
      <alignment horizontal="center" vertical="center"/>
    </xf>
    <xf numFmtId="3" fontId="50" fillId="18" borderId="3" xfId="0" applyNumberFormat="1" applyFont="1" applyFill="1" applyBorder="1" applyAlignment="1">
      <alignment horizontal="center" vertical="center"/>
    </xf>
    <xf numFmtId="3" fontId="51" fillId="18" borderId="3" xfId="0" applyNumberFormat="1" applyFont="1" applyFill="1" applyBorder="1" applyAlignment="1">
      <alignment horizontal="center" vertical="center" wrapText="1"/>
    </xf>
    <xf numFmtId="2" fontId="32" fillId="5" borderId="3" xfId="0" applyNumberFormat="1" applyFont="1" applyFill="1" applyBorder="1" applyAlignment="1">
      <alignment horizontal="center" vertical="center"/>
    </xf>
    <xf numFmtId="2" fontId="32" fillId="18" borderId="38" xfId="0" applyNumberFormat="1" applyFont="1" applyFill="1" applyBorder="1" applyAlignment="1">
      <alignment horizontal="center" vertical="center"/>
    </xf>
    <xf numFmtId="2" fontId="17" fillId="5" borderId="3" xfId="0" applyNumberFormat="1" applyFont="1" applyFill="1" applyBorder="1" applyAlignment="1">
      <alignment horizontal="center" vertical="center"/>
    </xf>
    <xf numFmtId="2" fontId="32" fillId="18" borderId="39" xfId="0" applyNumberFormat="1" applyFont="1" applyFill="1" applyBorder="1" applyAlignment="1">
      <alignment horizontal="center" vertical="center"/>
    </xf>
    <xf numFmtId="2" fontId="46" fillId="18" borderId="39" xfId="0" applyNumberFormat="1" applyFont="1" applyFill="1" applyBorder="1" applyAlignment="1">
      <alignment horizontal="center" vertical="center"/>
    </xf>
    <xf numFmtId="2" fontId="46" fillId="18" borderId="38" xfId="0" applyNumberFormat="1" applyFont="1" applyFill="1" applyBorder="1" applyAlignment="1">
      <alignment horizontal="center" vertical="center"/>
    </xf>
    <xf numFmtId="10" fontId="46" fillId="14" borderId="7" xfId="0" applyNumberFormat="1" applyFont="1" applyFill="1" applyBorder="1" applyAlignment="1">
      <alignment horizontal="center" vertical="center"/>
    </xf>
    <xf numFmtId="10" fontId="46" fillId="14" borderId="3" xfId="0" applyNumberFormat="1" applyFont="1" applyFill="1" applyBorder="1" applyAlignment="1">
      <alignment horizontal="center" vertical="center"/>
    </xf>
    <xf numFmtId="167" fontId="17" fillId="14" borderId="3" xfId="0" applyNumberFormat="1" applyFont="1" applyFill="1" applyBorder="1" applyAlignment="1">
      <alignment horizontal="center" vertical="center"/>
    </xf>
    <xf numFmtId="10" fontId="9" fillId="14" borderId="40" xfId="0" applyNumberFormat="1" applyFont="1" applyFill="1" applyBorder="1" applyAlignment="1">
      <alignment horizontal="center" vertical="center"/>
    </xf>
    <xf numFmtId="0" fontId="30" fillId="13" borderId="25" xfId="0" applyFont="1" applyFill="1" applyBorder="1" applyAlignment="1">
      <alignment vertical="center"/>
    </xf>
    <xf numFmtId="0" fontId="30" fillId="13" borderId="26" xfId="0" applyFont="1" applyFill="1" applyBorder="1" applyAlignment="1">
      <alignment vertical="center"/>
    </xf>
    <xf numFmtId="0" fontId="30" fillId="13" borderId="27" xfId="0" applyFont="1" applyFill="1" applyBorder="1" applyAlignment="1">
      <alignment vertical="center"/>
    </xf>
    <xf numFmtId="0" fontId="2" fillId="3" borderId="0" xfId="0" applyFont="1" applyFill="1" applyAlignment="1">
      <alignment horizontal="left"/>
    </xf>
    <xf numFmtId="164" fontId="2" fillId="17" borderId="0" xfId="1" applyFont="1" applyFill="1" applyAlignment="1">
      <alignment horizontal="center" vertical="center"/>
    </xf>
    <xf numFmtId="0" fontId="2" fillId="3" borderId="0" xfId="0" applyFont="1" applyFill="1" applyAlignment="1">
      <alignment horizontal="center" vertical="center"/>
    </xf>
    <xf numFmtId="164" fontId="0" fillId="0" borderId="0" xfId="0" applyNumberFormat="1"/>
    <xf numFmtId="0" fontId="31" fillId="0" borderId="23" xfId="0" applyFont="1" applyBorder="1" applyAlignment="1">
      <alignment horizontal="center" vertical="center"/>
    </xf>
    <xf numFmtId="0" fontId="25" fillId="12" borderId="23" xfId="0" applyFont="1" applyFill="1" applyBorder="1" applyAlignment="1">
      <alignment horizontal="center" vertical="center" wrapText="1"/>
    </xf>
    <xf numFmtId="0" fontId="37" fillId="5" borderId="23" xfId="0" applyFont="1" applyFill="1" applyBorder="1" applyAlignment="1">
      <alignment horizontal="center" vertical="center" wrapText="1"/>
    </xf>
    <xf numFmtId="0" fontId="39" fillId="5" borderId="23" xfId="0" applyFont="1" applyFill="1" applyBorder="1" applyAlignment="1">
      <alignment horizontal="center" vertical="center" wrapText="1"/>
    </xf>
    <xf numFmtId="0" fontId="37" fillId="4" borderId="31" xfId="0" applyFont="1" applyFill="1" applyBorder="1" applyAlignment="1">
      <alignment horizontal="center" vertical="center" wrapText="1"/>
    </xf>
    <xf numFmtId="0" fontId="39" fillId="5" borderId="30" xfId="0" applyFont="1" applyFill="1" applyBorder="1" applyAlignment="1">
      <alignment horizontal="center" vertical="center" wrapText="1"/>
    </xf>
    <xf numFmtId="0" fontId="37" fillId="28" borderId="31" xfId="0" applyFont="1" applyFill="1" applyBorder="1" applyAlignment="1">
      <alignment horizontal="center" vertical="center" wrapText="1"/>
    </xf>
    <xf numFmtId="0" fontId="31" fillId="0" borderId="2" xfId="0" applyFont="1" applyBorder="1" applyAlignment="1">
      <alignment horizontal="center" vertical="center"/>
    </xf>
    <xf numFmtId="0" fontId="32" fillId="28" borderId="2" xfId="0" applyFont="1" applyFill="1" applyBorder="1" applyAlignment="1">
      <alignment horizontal="center" vertical="center" wrapText="1"/>
    </xf>
    <xf numFmtId="0" fontId="40" fillId="12" borderId="2" xfId="0" applyFont="1" applyFill="1" applyBorder="1" applyAlignment="1">
      <alignment vertical="center" wrapText="1"/>
    </xf>
    <xf numFmtId="0" fontId="32" fillId="5" borderId="2" xfId="0" applyFont="1" applyFill="1" applyBorder="1" applyAlignment="1">
      <alignment horizontal="center" vertical="center" wrapText="1"/>
    </xf>
    <xf numFmtId="0" fontId="53" fillId="5" borderId="2" xfId="0" applyFont="1" applyFill="1" applyBorder="1" applyAlignment="1">
      <alignment horizontal="center" vertical="center" wrapText="1"/>
    </xf>
    <xf numFmtId="0" fontId="32" fillId="15" borderId="34" xfId="0" applyFont="1" applyFill="1" applyBorder="1" applyAlignment="1">
      <alignment horizontal="center" vertical="center" wrapText="1"/>
    </xf>
    <xf numFmtId="0" fontId="53" fillId="5" borderId="12" xfId="0" applyFont="1" applyFill="1" applyBorder="1" applyAlignment="1">
      <alignment horizontal="center" vertical="center" wrapText="1"/>
    </xf>
    <xf numFmtId="0" fontId="32" fillId="15" borderId="41" xfId="0" applyFont="1" applyFill="1" applyBorder="1" applyAlignment="1">
      <alignment horizontal="center" vertical="center" wrapText="1"/>
    </xf>
    <xf numFmtId="0" fontId="40" fillId="14" borderId="2" xfId="0" applyFont="1" applyFill="1" applyBorder="1" applyAlignment="1">
      <alignment horizontal="center" vertical="center" wrapText="1"/>
    </xf>
    <xf numFmtId="0" fontId="32" fillId="15" borderId="35" xfId="0" applyFont="1" applyFill="1" applyBorder="1" applyAlignment="1">
      <alignment horizontal="center" vertical="center" wrapText="1"/>
    </xf>
    <xf numFmtId="0" fontId="44" fillId="0" borderId="2" xfId="0" applyFont="1" applyBorder="1" applyAlignment="1">
      <alignment horizontal="center" vertical="center"/>
    </xf>
    <xf numFmtId="2" fontId="46" fillId="12" borderId="2" xfId="0" applyNumberFormat="1" applyFont="1" applyFill="1" applyBorder="1" applyAlignment="1">
      <alignment horizontal="center"/>
    </xf>
    <xf numFmtId="2" fontId="46" fillId="5" borderId="2" xfId="0" applyNumberFormat="1" applyFont="1" applyFill="1" applyBorder="1" applyAlignment="1">
      <alignment horizontal="center"/>
    </xf>
    <xf numFmtId="2" fontId="45" fillId="5" borderId="2" xfId="0" applyNumberFormat="1" applyFont="1" applyFill="1" applyBorder="1" applyAlignment="1">
      <alignment horizontal="center"/>
    </xf>
    <xf numFmtId="2" fontId="32" fillId="4" borderId="34" xfId="0" applyNumberFormat="1" applyFont="1" applyFill="1" applyBorder="1" applyAlignment="1">
      <alignment horizontal="center"/>
    </xf>
    <xf numFmtId="2" fontId="46" fillId="4" borderId="34" xfId="0" applyNumberFormat="1" applyFont="1" applyFill="1" applyBorder="1" applyAlignment="1">
      <alignment horizontal="center"/>
    </xf>
    <xf numFmtId="2" fontId="46" fillId="4" borderId="29" xfId="0" applyNumberFormat="1" applyFont="1" applyFill="1" applyBorder="1" applyAlignment="1">
      <alignment horizontal="center"/>
    </xf>
    <xf numFmtId="10" fontId="9" fillId="14" borderId="2" xfId="0" applyNumberFormat="1" applyFont="1" applyFill="1" applyBorder="1" applyAlignment="1">
      <alignment horizontal="center"/>
    </xf>
    <xf numFmtId="0" fontId="44" fillId="16" borderId="2" xfId="0" applyFont="1" applyFill="1" applyBorder="1" applyAlignment="1">
      <alignment horizontal="center" vertical="center"/>
    </xf>
    <xf numFmtId="4" fontId="5" fillId="16" borderId="2" xfId="0" applyNumberFormat="1" applyFont="1" applyFill="1" applyBorder="1" applyAlignment="1">
      <alignment horizontal="center" vertical="center"/>
    </xf>
    <xf numFmtId="4" fontId="5" fillId="5" borderId="3" xfId="0" applyNumberFormat="1" applyFont="1" applyFill="1" applyBorder="1" applyAlignment="1">
      <alignment horizontal="center" vertical="center"/>
    </xf>
    <xf numFmtId="2" fontId="53" fillId="5" borderId="12" xfId="0" applyNumberFormat="1" applyFont="1" applyFill="1" applyBorder="1" applyAlignment="1">
      <alignment horizontal="center" vertical="center"/>
    </xf>
    <xf numFmtId="2" fontId="53" fillId="5" borderId="2" xfId="0" applyNumberFormat="1" applyFont="1" applyFill="1" applyBorder="1" applyAlignment="1">
      <alignment horizontal="center" vertical="center"/>
    </xf>
    <xf numFmtId="10" fontId="3" fillId="14" borderId="2" xfId="0" applyNumberFormat="1" applyFont="1" applyFill="1" applyBorder="1" applyAlignment="1">
      <alignment horizontal="center" vertical="center"/>
    </xf>
    <xf numFmtId="0" fontId="44" fillId="18" borderId="3" xfId="0" applyFont="1" applyFill="1" applyBorder="1" applyAlignment="1">
      <alignment horizontal="center" vertical="center"/>
    </xf>
    <xf numFmtId="3" fontId="31" fillId="18" borderId="3" xfId="0" applyNumberFormat="1" applyFont="1" applyFill="1" applyBorder="1" applyAlignment="1">
      <alignment horizontal="center" vertical="center"/>
    </xf>
    <xf numFmtId="3" fontId="48" fillId="18" borderId="3" xfId="0" applyNumberFormat="1" applyFont="1" applyFill="1" applyBorder="1" applyAlignment="1">
      <alignment horizontal="center" vertical="center" wrapText="1"/>
    </xf>
    <xf numFmtId="4" fontId="5" fillId="18" borderId="3" xfId="0" applyNumberFormat="1" applyFont="1" applyFill="1" applyBorder="1" applyAlignment="1">
      <alignment horizontal="center" vertical="center"/>
    </xf>
    <xf numFmtId="2" fontId="53" fillId="5" borderId="3" xfId="0" applyNumberFormat="1" applyFont="1" applyFill="1" applyBorder="1" applyAlignment="1">
      <alignment horizontal="center" vertical="center"/>
    </xf>
    <xf numFmtId="2" fontId="53" fillId="5" borderId="7" xfId="0" applyNumberFormat="1" applyFont="1" applyFill="1" applyBorder="1" applyAlignment="1">
      <alignment horizontal="center" vertical="center"/>
    </xf>
    <xf numFmtId="10" fontId="32" fillId="14" borderId="7" xfId="0" applyNumberFormat="1" applyFont="1" applyFill="1" applyBorder="1" applyAlignment="1">
      <alignment horizontal="center" vertical="center"/>
    </xf>
    <xf numFmtId="10" fontId="32" fillId="14" borderId="3" xfId="0" applyNumberFormat="1" applyFont="1" applyFill="1" applyBorder="1" applyAlignment="1">
      <alignment horizontal="center" vertical="center"/>
    </xf>
    <xf numFmtId="167" fontId="21" fillId="14" borderId="3" xfId="0" applyNumberFormat="1" applyFont="1" applyFill="1" applyBorder="1" applyAlignment="1">
      <alignment horizontal="center" vertical="center"/>
    </xf>
    <xf numFmtId="10" fontId="3" fillId="14" borderId="3" xfId="0" applyNumberFormat="1" applyFont="1" applyFill="1" applyBorder="1" applyAlignment="1">
      <alignment horizontal="center" vertical="center"/>
    </xf>
    <xf numFmtId="0" fontId="25" fillId="30" borderId="23" xfId="0" applyFont="1" applyFill="1" applyBorder="1" applyAlignment="1">
      <alignment horizontal="center" vertical="center" wrapText="1"/>
    </xf>
    <xf numFmtId="0" fontId="37" fillId="31" borderId="23" xfId="0" applyFont="1" applyFill="1" applyBorder="1" applyAlignment="1">
      <alignment horizontal="center" vertical="center" wrapText="1"/>
    </xf>
    <xf numFmtId="0" fontId="40" fillId="30" borderId="2" xfId="0" applyFont="1" applyFill="1" applyBorder="1" applyAlignment="1">
      <alignment vertical="center" wrapText="1"/>
    </xf>
    <xf numFmtId="0" fontId="32" fillId="31" borderId="2" xfId="0" applyFont="1" applyFill="1" applyBorder="1" applyAlignment="1">
      <alignment horizontal="center" vertical="center" wrapText="1"/>
    </xf>
    <xf numFmtId="2" fontId="46" fillId="30" borderId="2" xfId="0" applyNumberFormat="1" applyFont="1" applyFill="1" applyBorder="1" applyAlignment="1">
      <alignment horizontal="center"/>
    </xf>
    <xf numFmtId="2" fontId="46" fillId="31" borderId="2" xfId="0" applyNumberFormat="1" applyFont="1" applyFill="1" applyBorder="1" applyAlignment="1">
      <alignment horizontal="center"/>
    </xf>
    <xf numFmtId="3" fontId="10" fillId="16" borderId="2" xfId="0" applyNumberFormat="1" applyFont="1" applyFill="1" applyBorder="1" applyAlignment="1">
      <alignment horizontal="center" vertical="center" wrapText="1"/>
    </xf>
    <xf numFmtId="2" fontId="32" fillId="16" borderId="2" xfId="0" applyNumberFormat="1" applyFont="1" applyFill="1" applyBorder="1" applyAlignment="1">
      <alignment horizontal="center" vertical="center"/>
    </xf>
    <xf numFmtId="0" fontId="44" fillId="18" borderId="2" xfId="0" applyFont="1" applyFill="1" applyBorder="1" applyAlignment="1">
      <alignment horizontal="center" vertical="center"/>
    </xf>
    <xf numFmtId="3" fontId="31" fillId="18" borderId="2" xfId="0" applyNumberFormat="1" applyFont="1" applyFill="1" applyBorder="1" applyAlignment="1">
      <alignment horizontal="center" vertical="center"/>
    </xf>
    <xf numFmtId="2" fontId="32" fillId="18" borderId="2" xfId="0" applyNumberFormat="1" applyFont="1" applyFill="1" applyBorder="1" applyAlignment="1">
      <alignment horizontal="center" vertical="center"/>
    </xf>
    <xf numFmtId="0" fontId="55" fillId="33" borderId="23" xfId="0" applyFont="1" applyFill="1" applyBorder="1" applyAlignment="1">
      <alignment horizontal="center" vertical="center" wrapText="1"/>
    </xf>
    <xf numFmtId="0" fontId="43" fillId="28" borderId="23" xfId="0" applyFont="1" applyFill="1" applyBorder="1" applyAlignment="1">
      <alignment horizontal="center" vertical="center" wrapText="1"/>
    </xf>
    <xf numFmtId="0" fontId="40" fillId="32" borderId="23" xfId="0" applyFont="1" applyFill="1" applyBorder="1" applyAlignment="1">
      <alignment horizontal="center" vertical="center" wrapText="1"/>
    </xf>
    <xf numFmtId="0" fontId="40" fillId="14" borderId="23" xfId="0" applyFont="1" applyFill="1" applyBorder="1" applyAlignment="1">
      <alignment horizontal="center" vertical="center" wrapText="1"/>
    </xf>
    <xf numFmtId="0" fontId="43" fillId="14" borderId="23" xfId="0" applyFont="1" applyFill="1" applyBorder="1" applyAlignment="1">
      <alignment horizontal="center" vertical="center" wrapText="1"/>
    </xf>
    <xf numFmtId="0" fontId="43" fillId="33" borderId="2" xfId="0" applyFont="1" applyFill="1" applyBorder="1" applyAlignment="1">
      <alignment horizontal="center" vertical="center" wrapText="1"/>
    </xf>
    <xf numFmtId="0" fontId="42" fillId="5" borderId="2" xfId="0" applyFont="1" applyFill="1" applyBorder="1" applyAlignment="1">
      <alignment horizontal="center" vertical="center" wrapText="1"/>
    </xf>
    <xf numFmtId="0" fontId="40" fillId="32" borderId="2" xfId="0" applyFont="1" applyFill="1" applyBorder="1" applyAlignment="1">
      <alignment horizontal="center" vertical="center" wrapText="1"/>
    </xf>
    <xf numFmtId="2" fontId="45" fillId="33" borderId="2" xfId="0" applyNumberFormat="1" applyFont="1" applyFill="1" applyBorder="1" applyAlignment="1">
      <alignment horizontal="center"/>
    </xf>
    <xf numFmtId="2" fontId="45" fillId="0" borderId="2" xfId="0" applyNumberFormat="1" applyFont="1" applyBorder="1" applyAlignment="1">
      <alignment horizontal="center"/>
    </xf>
    <xf numFmtId="2" fontId="46" fillId="32" borderId="2" xfId="0" applyNumberFormat="1" applyFont="1" applyFill="1" applyBorder="1" applyAlignment="1">
      <alignment horizontal="center"/>
    </xf>
    <xf numFmtId="2" fontId="53" fillId="16" borderId="2" xfId="0" applyNumberFormat="1" applyFont="1" applyFill="1" applyBorder="1" applyAlignment="1">
      <alignment horizontal="center" vertical="center"/>
    </xf>
    <xf numFmtId="2" fontId="53" fillId="2" borderId="2" xfId="0" applyNumberFormat="1" applyFont="1" applyFill="1" applyBorder="1" applyAlignment="1">
      <alignment horizontal="center" vertical="center"/>
    </xf>
    <xf numFmtId="3" fontId="31" fillId="18" borderId="2" xfId="0" applyNumberFormat="1" applyFont="1" applyFill="1" applyBorder="1" applyAlignment="1">
      <alignment horizontal="center"/>
    </xf>
    <xf numFmtId="2" fontId="53" fillId="18" borderId="2" xfId="0" applyNumberFormat="1" applyFont="1" applyFill="1" applyBorder="1" applyAlignment="1">
      <alignment horizontal="center"/>
    </xf>
    <xf numFmtId="2" fontId="53" fillId="2" borderId="2" xfId="0" applyNumberFormat="1" applyFont="1" applyFill="1" applyBorder="1" applyAlignment="1">
      <alignment horizontal="center"/>
    </xf>
    <xf numFmtId="2" fontId="32" fillId="18" borderId="2" xfId="0" applyNumberFormat="1" applyFont="1" applyFill="1" applyBorder="1" applyAlignment="1">
      <alignment horizontal="center"/>
    </xf>
    <xf numFmtId="10" fontId="32" fillId="14" borderId="2" xfId="0" applyNumberFormat="1" applyFont="1" applyFill="1" applyBorder="1" applyAlignment="1">
      <alignment horizontal="center"/>
    </xf>
    <xf numFmtId="167" fontId="21" fillId="14" borderId="2" xfId="0" applyNumberFormat="1" applyFont="1" applyFill="1" applyBorder="1" applyAlignment="1">
      <alignment horizontal="center"/>
    </xf>
    <xf numFmtId="10" fontId="3" fillId="14" borderId="2" xfId="0" applyNumberFormat="1" applyFont="1" applyFill="1" applyBorder="1" applyAlignment="1">
      <alignment horizontal="center"/>
    </xf>
    <xf numFmtId="0" fontId="30" fillId="32" borderId="1" xfId="0" applyFont="1" applyFill="1" applyBorder="1" applyAlignment="1">
      <alignment vertical="center"/>
    </xf>
    <xf numFmtId="0" fontId="30" fillId="32" borderId="8" xfId="0" applyFont="1" applyFill="1" applyBorder="1" applyAlignment="1">
      <alignment vertical="center"/>
    </xf>
    <xf numFmtId="0" fontId="2" fillId="20" borderId="4" xfId="0" applyFont="1" applyFill="1" applyBorder="1"/>
    <xf numFmtId="0" fontId="2" fillId="20" borderId="5" xfId="0" applyFont="1" applyFill="1" applyBorder="1"/>
    <xf numFmtId="0" fontId="2" fillId="20" borderId="6" xfId="0" applyFont="1" applyFill="1" applyBorder="1"/>
    <xf numFmtId="0" fontId="2" fillId="0" borderId="8" xfId="0" applyFont="1" applyBorder="1"/>
    <xf numFmtId="0" fontId="30" fillId="12" borderId="1" xfId="0" applyFont="1" applyFill="1" applyBorder="1" applyAlignment="1">
      <alignment vertical="center"/>
    </xf>
    <xf numFmtId="0" fontId="30" fillId="12" borderId="8" xfId="0" applyFont="1" applyFill="1" applyBorder="1" applyAlignment="1">
      <alignment vertical="center"/>
    </xf>
    <xf numFmtId="0" fontId="32" fillId="28" borderId="23" xfId="0" applyFont="1" applyFill="1" applyBorder="1" applyAlignment="1">
      <alignment vertical="center" wrapText="1"/>
    </xf>
    <xf numFmtId="0" fontId="3" fillId="20" borderId="0" xfId="0" applyFont="1" applyFill="1" applyAlignment="1">
      <alignment horizontal="right"/>
    </xf>
    <xf numFmtId="0" fontId="58" fillId="20" borderId="0" xfId="0" applyFont="1" applyFill="1" applyAlignment="1">
      <alignment vertical="center"/>
    </xf>
    <xf numFmtId="0" fontId="0" fillId="27" borderId="0" xfId="0" applyFill="1"/>
    <xf numFmtId="0" fontId="2" fillId="27" borderId="0" xfId="0" applyFont="1" applyFill="1"/>
    <xf numFmtId="0" fontId="14" fillId="20" borderId="0" xfId="0" applyFont="1" applyFill="1" applyAlignment="1">
      <alignment vertical="top"/>
    </xf>
    <xf numFmtId="164" fontId="2" fillId="20" borderId="4" xfId="1" applyFont="1" applyFill="1" applyBorder="1" applyAlignment="1">
      <alignment vertical="center"/>
    </xf>
    <xf numFmtId="164" fontId="2" fillId="20" borderId="5" xfId="1" applyFont="1" applyFill="1" applyBorder="1" applyAlignment="1">
      <alignment vertical="center"/>
    </xf>
    <xf numFmtId="164" fontId="2" fillId="20" borderId="6" xfId="1" applyFont="1" applyFill="1" applyBorder="1" applyAlignment="1">
      <alignment vertical="center"/>
    </xf>
    <xf numFmtId="164" fontId="0" fillId="20" borderId="0" xfId="0" applyNumberFormat="1" applyFill="1"/>
    <xf numFmtId="0" fontId="2" fillId="20" borderId="0" xfId="0" applyFont="1" applyFill="1" applyAlignment="1">
      <alignment horizontal="left"/>
    </xf>
    <xf numFmtId="164" fontId="0" fillId="34" borderId="0" xfId="1" applyFont="1" applyFill="1"/>
    <xf numFmtId="0" fontId="2" fillId="20" borderId="0" xfId="0" applyFont="1" applyFill="1" applyAlignment="1">
      <alignment horizontal="right"/>
    </xf>
    <xf numFmtId="164" fontId="2" fillId="20" borderId="4" xfId="1" applyFont="1" applyFill="1" applyBorder="1" applyAlignment="1">
      <alignment horizontal="right"/>
    </xf>
    <xf numFmtId="0" fontId="2" fillId="20" borderId="6" xfId="0" applyFont="1" applyFill="1" applyBorder="1" applyAlignment="1">
      <alignment horizontal="right"/>
    </xf>
    <xf numFmtId="164" fontId="2" fillId="3" borderId="0" xfId="0" applyNumberFormat="1" applyFont="1" applyFill="1"/>
    <xf numFmtId="0" fontId="9" fillId="2" borderId="20" xfId="0" applyFont="1" applyFill="1" applyBorder="1" applyAlignment="1">
      <alignment vertical="center"/>
    </xf>
    <xf numFmtId="0" fontId="9" fillId="2" borderId="20" xfId="0" applyFont="1" applyFill="1" applyBorder="1" applyAlignment="1">
      <alignment vertical="center" wrapText="1"/>
    </xf>
    <xf numFmtId="0" fontId="0" fillId="20" borderId="9" xfId="0" applyFill="1" applyBorder="1" applyAlignment="1">
      <alignment horizontal="left"/>
    </xf>
    <xf numFmtId="0" fontId="2" fillId="0" borderId="8" xfId="0" applyFont="1" applyBorder="1" applyAlignment="1">
      <alignment horizontal="right"/>
    </xf>
    <xf numFmtId="20" fontId="0" fillId="20" borderId="0" xfId="0" applyNumberFormat="1" applyFill="1" applyAlignment="1">
      <alignment horizontal="left"/>
    </xf>
    <xf numFmtId="0" fontId="60" fillId="3" borderId="0" xfId="0" applyFont="1" applyFill="1"/>
    <xf numFmtId="0" fontId="61" fillId="3" borderId="0" xfId="0" applyFont="1" applyFill="1"/>
    <xf numFmtId="164" fontId="59" fillId="3" borderId="0" xfId="0" applyNumberFormat="1" applyFont="1" applyFill="1"/>
    <xf numFmtId="0" fontId="9" fillId="24" borderId="20" xfId="0" applyFont="1" applyFill="1" applyBorder="1" applyAlignment="1">
      <alignment vertical="center"/>
    </xf>
    <xf numFmtId="0" fontId="9" fillId="24" borderId="20" xfId="0" applyFont="1" applyFill="1" applyBorder="1" applyAlignment="1">
      <alignment vertical="top"/>
    </xf>
    <xf numFmtId="0" fontId="9" fillId="24" borderId="21" xfId="0" applyFont="1" applyFill="1" applyBorder="1"/>
    <xf numFmtId="0" fontId="18" fillId="20" borderId="0" xfId="0" applyFont="1" applyFill="1" applyAlignment="1">
      <alignment vertical="center"/>
    </xf>
    <xf numFmtId="0" fontId="3" fillId="20" borderId="8" xfId="0" applyFont="1" applyFill="1" applyBorder="1" applyAlignment="1">
      <alignment vertical="center"/>
    </xf>
    <xf numFmtId="0" fontId="17" fillId="20" borderId="0" xfId="0" applyFont="1" applyFill="1" applyAlignment="1">
      <alignment horizontal="right" vertical="center"/>
    </xf>
    <xf numFmtId="0" fontId="3" fillId="20" borderId="8" xfId="0" applyFont="1" applyFill="1" applyBorder="1" applyAlignment="1">
      <alignment horizontal="left" vertical="center"/>
    </xf>
    <xf numFmtId="0" fontId="18" fillId="20" borderId="8" xfId="0" applyFont="1" applyFill="1" applyBorder="1" applyAlignment="1">
      <alignment vertical="center"/>
    </xf>
    <xf numFmtId="0" fontId="62" fillId="20" borderId="0" xfId="4" applyFont="1" applyFill="1"/>
    <xf numFmtId="165" fontId="0" fillId="10" borderId="0" xfId="1" applyNumberFormat="1" applyFont="1" applyFill="1" applyAlignment="1">
      <alignment horizontal="right"/>
    </xf>
    <xf numFmtId="0" fontId="4" fillId="20" borderId="0" xfId="0" applyFont="1" applyFill="1" applyAlignment="1">
      <alignment horizontal="left" vertical="center"/>
    </xf>
    <xf numFmtId="0" fontId="64" fillId="20" borderId="0" xfId="5" applyFill="1"/>
    <xf numFmtId="0" fontId="0" fillId="20" borderId="0" xfId="0" applyFill="1" applyAlignment="1">
      <alignment vertical="center"/>
    </xf>
    <xf numFmtId="164" fontId="14" fillId="20" borderId="0" xfId="0" applyNumberFormat="1" applyFont="1" applyFill="1" applyAlignment="1">
      <alignment horizontal="left" vertical="top"/>
    </xf>
    <xf numFmtId="164" fontId="14" fillId="20" borderId="0" xfId="0" applyNumberFormat="1" applyFont="1" applyFill="1" applyAlignment="1">
      <alignment horizontal="left" vertical="top" wrapText="1" indent="1"/>
    </xf>
    <xf numFmtId="0" fontId="14" fillId="20" borderId="13" xfId="0" applyFont="1" applyFill="1" applyBorder="1" applyAlignment="1">
      <alignment horizontal="left" indent="1"/>
    </xf>
    <xf numFmtId="0" fontId="9" fillId="20" borderId="0" xfId="0" applyFont="1" applyFill="1" applyAlignment="1">
      <alignment horizontal="left" wrapText="1"/>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0" fillId="20" borderId="0" xfId="0" applyFill="1" applyAlignment="1">
      <alignment horizontal="center"/>
    </xf>
    <xf numFmtId="0" fontId="0" fillId="0" borderId="44" xfId="0" applyBorder="1" applyAlignment="1" applyProtection="1">
      <alignment horizontal="center"/>
      <protection locked="0"/>
    </xf>
    <xf numFmtId="0" fontId="66" fillId="20" borderId="0" xfId="0" applyFont="1" applyFill="1" applyAlignment="1">
      <alignment horizontal="left"/>
    </xf>
    <xf numFmtId="0" fontId="3" fillId="20" borderId="0" xfId="0" applyFont="1" applyFill="1" applyAlignment="1">
      <alignment horizontal="left"/>
    </xf>
    <xf numFmtId="0" fontId="65" fillId="20" borderId="0" xfId="0" applyFont="1" applyFill="1" applyAlignment="1" applyProtection="1">
      <alignment horizontal="left" vertical="center" indent="1"/>
      <protection locked="0"/>
    </xf>
    <xf numFmtId="0" fontId="14" fillId="20" borderId="0" xfId="0" applyFont="1" applyFill="1" applyAlignment="1" applyProtection="1">
      <alignment horizontal="left" vertical="center" indent="1"/>
      <protection locked="0"/>
    </xf>
    <xf numFmtId="0" fontId="69" fillId="20" borderId="0" xfId="0" applyFont="1" applyFill="1"/>
    <xf numFmtId="0" fontId="3" fillId="17" borderId="0" xfId="0" applyFont="1" applyFill="1" applyAlignment="1">
      <alignment horizontal="center" vertical="center"/>
    </xf>
    <xf numFmtId="0" fontId="3" fillId="24" borderId="20" xfId="0" applyFont="1" applyFill="1" applyBorder="1" applyAlignment="1">
      <alignment vertical="center"/>
    </xf>
    <xf numFmtId="0" fontId="14" fillId="20" borderId="0" xfId="0" applyFont="1" applyFill="1" applyAlignment="1">
      <alignment vertical="center" wrapText="1"/>
    </xf>
    <xf numFmtId="0" fontId="14" fillId="20" borderId="0" xfId="0" applyFont="1" applyFill="1" applyAlignment="1">
      <alignment horizontal="left" vertical="center" wrapText="1" indent="1"/>
    </xf>
    <xf numFmtId="0" fontId="70" fillId="20" borderId="0" xfId="0" applyFont="1" applyFill="1"/>
    <xf numFmtId="0" fontId="3" fillId="24" borderId="19" xfId="0" applyFont="1" applyFill="1" applyBorder="1" applyAlignment="1">
      <alignment vertical="center"/>
    </xf>
    <xf numFmtId="0" fontId="3" fillId="2" borderId="19" xfId="0" applyFont="1" applyFill="1" applyBorder="1" applyAlignment="1">
      <alignment vertical="center"/>
    </xf>
    <xf numFmtId="0" fontId="3" fillId="23" borderId="19" xfId="0" applyFont="1" applyFill="1" applyBorder="1" applyAlignment="1">
      <alignment vertical="center"/>
    </xf>
    <xf numFmtId="0" fontId="3" fillId="23" borderId="20" xfId="0" applyFont="1" applyFill="1" applyBorder="1" applyAlignment="1">
      <alignment vertical="center"/>
    </xf>
    <xf numFmtId="20" fontId="17" fillId="11" borderId="15" xfId="0" applyNumberFormat="1" applyFont="1" applyFill="1" applyBorder="1" applyAlignment="1" applyProtection="1">
      <alignment horizontal="right"/>
      <protection locked="0"/>
    </xf>
    <xf numFmtId="20" fontId="17" fillId="0" borderId="15" xfId="0" applyNumberFormat="1" applyFont="1" applyBorder="1" applyAlignment="1" applyProtection="1">
      <alignment horizontal="right"/>
      <protection locked="0"/>
    </xf>
    <xf numFmtId="0" fontId="71" fillId="24" borderId="20" xfId="0" applyFont="1" applyFill="1" applyBorder="1" applyAlignment="1">
      <alignment vertical="center"/>
    </xf>
    <xf numFmtId="164" fontId="72" fillId="20" borderId="0" xfId="4" applyNumberFormat="1" applyFont="1" applyFill="1" applyAlignment="1">
      <alignment horizontal="left" vertical="top"/>
    </xf>
    <xf numFmtId="0" fontId="73" fillId="20" borderId="0" xfId="4" applyFont="1" applyFill="1"/>
    <xf numFmtId="0" fontId="73" fillId="23" borderId="20" xfId="4" applyFont="1" applyFill="1" applyBorder="1"/>
    <xf numFmtId="0" fontId="73" fillId="2" borderId="20" xfId="4" applyFont="1" applyFill="1" applyBorder="1"/>
    <xf numFmtId="0" fontId="73" fillId="24" borderId="20" xfId="4" applyFont="1" applyFill="1" applyBorder="1" applyAlignment="1">
      <alignment vertical="center"/>
    </xf>
    <xf numFmtId="0" fontId="6" fillId="0" borderId="0" xfId="0" applyFont="1" applyAlignment="1">
      <alignment vertical="center" textRotation="90" wrapText="1"/>
    </xf>
    <xf numFmtId="0" fontId="0" fillId="24" borderId="20" xfId="0" applyFill="1" applyBorder="1"/>
    <xf numFmtId="164" fontId="0" fillId="3" borderId="0" xfId="1" applyFont="1" applyFill="1" applyAlignment="1">
      <alignment horizontal="left" vertical="center"/>
    </xf>
    <xf numFmtId="0" fontId="0" fillId="3" borderId="0" xfId="0" applyFill="1" applyAlignment="1">
      <alignment horizontal="left" vertical="center"/>
    </xf>
    <xf numFmtId="0" fontId="3" fillId="27" borderId="19" xfId="0" applyFont="1" applyFill="1" applyBorder="1" applyAlignment="1">
      <alignment vertical="top" wrapText="1"/>
    </xf>
    <xf numFmtId="0" fontId="0" fillId="27" borderId="20" xfId="0" applyFill="1" applyBorder="1" applyAlignment="1">
      <alignment vertical="top" wrapText="1"/>
    </xf>
    <xf numFmtId="0" fontId="73" fillId="27" borderId="21" xfId="4" applyFont="1" applyFill="1" applyBorder="1" applyAlignment="1">
      <alignment vertical="center"/>
    </xf>
    <xf numFmtId="0" fontId="14" fillId="24" borderId="20" xfId="0" applyFont="1" applyFill="1" applyBorder="1" applyAlignment="1">
      <alignment vertical="top"/>
    </xf>
    <xf numFmtId="0" fontId="9" fillId="35" borderId="11" xfId="0" applyFont="1" applyFill="1" applyBorder="1" applyAlignment="1">
      <alignment horizontal="center" vertical="center"/>
    </xf>
    <xf numFmtId="164" fontId="9" fillId="35" borderId="10" xfId="1" applyFont="1" applyFill="1" applyBorder="1" applyProtection="1"/>
    <xf numFmtId="164" fontId="3" fillId="20" borderId="0" xfId="0" applyNumberFormat="1" applyFont="1" applyFill="1" applyAlignment="1">
      <alignment horizontal="right"/>
    </xf>
    <xf numFmtId="0" fontId="16" fillId="0" borderId="0" xfId="0" applyFont="1" applyAlignment="1">
      <alignment horizontal="left" vertical="center"/>
    </xf>
    <xf numFmtId="0" fontId="14" fillId="20" borderId="0" xfId="0" applyFont="1" applyFill="1" applyAlignment="1">
      <alignment horizontal="left" vertical="top" wrapText="1" indent="1"/>
    </xf>
    <xf numFmtId="0" fontId="11" fillId="20" borderId="13" xfId="0" applyFont="1" applyFill="1" applyBorder="1" applyAlignment="1">
      <alignment horizontal="left" vertical="center"/>
    </xf>
    <xf numFmtId="0" fontId="19" fillId="6" borderId="0" xfId="0" applyFont="1" applyFill="1" applyAlignment="1">
      <alignment horizontal="center" vertical="center"/>
    </xf>
    <xf numFmtId="0" fontId="14" fillId="20" borderId="0" xfId="0" applyFont="1" applyFill="1" applyAlignment="1">
      <alignment vertical="top" wrapText="1"/>
    </xf>
    <xf numFmtId="0" fontId="6" fillId="26" borderId="0" xfId="0" applyFont="1" applyFill="1" applyAlignment="1">
      <alignment horizontal="center" vertical="center" textRotation="90" wrapText="1"/>
    </xf>
    <xf numFmtId="0" fontId="6" fillId="25" borderId="0" xfId="0" applyFont="1" applyFill="1" applyAlignment="1">
      <alignment horizontal="center" vertical="center" textRotation="90" wrapText="1"/>
    </xf>
    <xf numFmtId="0" fontId="6" fillId="22" borderId="0" xfId="0" applyFont="1" applyFill="1" applyAlignment="1">
      <alignment horizontal="center" vertical="center" textRotation="90" wrapText="1"/>
    </xf>
    <xf numFmtId="0" fontId="6" fillId="9" borderId="0" xfId="0" applyFont="1" applyFill="1" applyAlignment="1">
      <alignment horizontal="center" vertical="center"/>
    </xf>
    <xf numFmtId="0" fontId="6" fillId="6" borderId="0" xfId="0" applyFont="1" applyFill="1" applyAlignment="1">
      <alignment horizontal="center" vertical="center" textRotation="90" wrapText="1"/>
    </xf>
    <xf numFmtId="0" fontId="6" fillId="24" borderId="0" xfId="0" applyFont="1" applyFill="1" applyAlignment="1">
      <alignment horizontal="center" vertical="center" textRotation="90" wrapText="1"/>
    </xf>
    <xf numFmtId="0" fontId="9" fillId="27" borderId="20" xfId="0" applyFont="1" applyFill="1" applyBorder="1" applyAlignment="1">
      <alignment horizontal="left" vertical="top" wrapText="1"/>
    </xf>
    <xf numFmtId="0" fontId="32" fillId="28" borderId="23" xfId="0" applyFont="1" applyFill="1" applyBorder="1" applyAlignment="1">
      <alignment horizontal="center" vertical="center" wrapText="1"/>
    </xf>
    <xf numFmtId="0" fontId="54" fillId="29" borderId="1" xfId="0" applyFont="1" applyFill="1" applyBorder="1" applyAlignment="1">
      <alignment horizontal="center" vertical="center"/>
    </xf>
    <xf numFmtId="0" fontId="54" fillId="29" borderId="8" xfId="0" applyFont="1" applyFill="1" applyBorder="1" applyAlignment="1">
      <alignment horizontal="center" vertical="center"/>
    </xf>
    <xf numFmtId="0" fontId="40" fillId="28" borderId="23" xfId="0" applyFont="1" applyFill="1" applyBorder="1" applyAlignment="1">
      <alignment horizontal="center" vertical="center" wrapText="1"/>
    </xf>
  </cellXfs>
  <cellStyles count="6">
    <cellStyle name="Lien hypertexte" xfId="4" builtinId="8" customBuiltin="1"/>
    <cellStyle name="Lien hypertexte visité" xfId="5" builtinId="9" customBuiltin="1"/>
    <cellStyle name="Milliers" xfId="1" builtinId="3"/>
    <cellStyle name="Milliers 2" xfId="3" xr:uid="{AD73B358-A8E2-BD46-8A39-E409F9D6B90C}"/>
    <cellStyle name="Normal" xfId="0" builtinId="0"/>
    <cellStyle name="Pourcentage" xfId="2" builtinId="5"/>
  </cellStyles>
  <dxfs count="1">
    <dxf>
      <font>
        <b/>
        <i val="0"/>
        <strike val="0"/>
        <condense val="0"/>
        <extend val="0"/>
        <outline val="0"/>
        <shadow val="0"/>
        <u val="none"/>
        <vertAlign val="baseline"/>
        <sz val="12"/>
        <color theme="1"/>
        <name val="Calibri"/>
        <family val="2"/>
        <scheme val="minor"/>
      </font>
    </dxf>
  </dxfs>
  <tableStyles count="0" defaultTableStyle="TableStyleMedium2" defaultPivotStyle="PivotStyleLight16"/>
  <colors>
    <mruColors>
      <color rgb="FFFFFDF2"/>
      <color rgb="FFFF9300"/>
      <color rgb="FFFFCE00"/>
      <color rgb="FFA4DBED"/>
      <color rgb="FFE8A409"/>
      <color rgb="FFFFFFFF"/>
      <color rgb="FFF3F3F3"/>
      <color rgb="FF73F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Radio" firstButton="1" fmlaLink="$F$6"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71606</xdr:colOff>
      <xdr:row>0</xdr:row>
      <xdr:rowOff>108868</xdr:rowOff>
    </xdr:from>
    <xdr:to>
      <xdr:col>1</xdr:col>
      <xdr:colOff>3111500</xdr:colOff>
      <xdr:row>1</xdr:row>
      <xdr:rowOff>261646</xdr:rowOff>
    </xdr:to>
    <xdr:pic>
      <xdr:nvPicPr>
        <xdr:cNvPr id="2" name="Graphic 1">
          <a:extLst>
            <a:ext uri="{FF2B5EF4-FFF2-40B4-BE49-F238E27FC236}">
              <a16:creationId xmlns:a16="http://schemas.microsoft.com/office/drawing/2014/main" id="{A4C9F9E4-62B1-74A3-1197-0F10B1CC112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87506" y="108868"/>
          <a:ext cx="3039894" cy="648078"/>
        </a:xfrm>
        <a:prstGeom prst="rect">
          <a:avLst/>
        </a:prstGeom>
      </xdr:spPr>
    </xdr:pic>
    <xdr:clientData/>
  </xdr:twoCellAnchor>
  <xdr:twoCellAnchor editAs="oneCell">
    <xdr:from>
      <xdr:col>3</xdr:col>
      <xdr:colOff>50801</xdr:colOff>
      <xdr:row>9</xdr:row>
      <xdr:rowOff>165102</xdr:rowOff>
    </xdr:from>
    <xdr:to>
      <xdr:col>4</xdr:col>
      <xdr:colOff>1651001</xdr:colOff>
      <xdr:row>9</xdr:row>
      <xdr:rowOff>727750</xdr:rowOff>
    </xdr:to>
    <xdr:pic>
      <xdr:nvPicPr>
        <xdr:cNvPr id="5" name="Picture 4">
          <a:extLst>
            <a:ext uri="{FF2B5EF4-FFF2-40B4-BE49-F238E27FC236}">
              <a16:creationId xmlns:a16="http://schemas.microsoft.com/office/drawing/2014/main" id="{197A817E-4AC9-C5DD-8582-4667D6F97618}"/>
            </a:ext>
          </a:extLst>
        </xdr:cNvPr>
        <xdr:cNvPicPr>
          <a:picLocks noChangeAspect="1"/>
        </xdr:cNvPicPr>
      </xdr:nvPicPr>
      <xdr:blipFill rotWithShape="1">
        <a:blip xmlns:r="http://schemas.openxmlformats.org/officeDocument/2006/relationships" r:embed="rId3"/>
        <a:srcRect t="7407"/>
        <a:stretch/>
      </xdr:blipFill>
      <xdr:spPr>
        <a:xfrm>
          <a:off x="5016501" y="4064002"/>
          <a:ext cx="4711700" cy="562648"/>
        </a:xfrm>
        <a:prstGeom prst="rect">
          <a:avLst/>
        </a:prstGeom>
        <a:ln>
          <a:solidFill>
            <a:schemeClr val="bg1">
              <a:lumMod val="85000"/>
            </a:schemeClr>
          </a:solidFill>
        </a:ln>
      </xdr:spPr>
    </xdr:pic>
    <xdr:clientData/>
  </xdr:twoCellAnchor>
  <xdr:twoCellAnchor editAs="oneCell">
    <xdr:from>
      <xdr:col>0</xdr:col>
      <xdr:colOff>116109</xdr:colOff>
      <xdr:row>9</xdr:row>
      <xdr:rowOff>114300</xdr:rowOff>
    </xdr:from>
    <xdr:to>
      <xdr:col>2</xdr:col>
      <xdr:colOff>5478</xdr:colOff>
      <xdr:row>10</xdr:row>
      <xdr:rowOff>63500</xdr:rowOff>
    </xdr:to>
    <xdr:pic>
      <xdr:nvPicPr>
        <xdr:cNvPr id="4" name="Picture 3">
          <a:extLst>
            <a:ext uri="{FF2B5EF4-FFF2-40B4-BE49-F238E27FC236}">
              <a16:creationId xmlns:a16="http://schemas.microsoft.com/office/drawing/2014/main" id="{F79E5B0C-A243-C79B-E9D3-8BEEC0FD8F32}"/>
            </a:ext>
          </a:extLst>
        </xdr:cNvPr>
        <xdr:cNvPicPr>
          <a:picLocks noChangeAspect="1"/>
        </xdr:cNvPicPr>
      </xdr:nvPicPr>
      <xdr:blipFill rotWithShape="1">
        <a:blip xmlns:r="http://schemas.openxmlformats.org/officeDocument/2006/relationships" r:embed="rId4"/>
        <a:srcRect b="26783"/>
        <a:stretch/>
      </xdr:blipFill>
      <xdr:spPr>
        <a:xfrm>
          <a:off x="116109" y="3251200"/>
          <a:ext cx="4550269" cy="2552700"/>
        </a:xfrm>
        <a:prstGeom prst="rect">
          <a:avLst/>
        </a:prstGeom>
        <a:ln>
          <a:solidFill>
            <a:schemeClr val="bg1">
              <a:lumMod val="85000"/>
            </a:schemeClr>
          </a:solidFill>
        </a:ln>
      </xdr:spPr>
    </xdr:pic>
    <xdr:clientData/>
  </xdr:twoCellAnchor>
  <xdr:twoCellAnchor editAs="oneCell">
    <xdr:from>
      <xdr:col>6</xdr:col>
      <xdr:colOff>63500</xdr:colOff>
      <xdr:row>9</xdr:row>
      <xdr:rowOff>157722</xdr:rowOff>
    </xdr:from>
    <xdr:to>
      <xdr:col>7</xdr:col>
      <xdr:colOff>12700</xdr:colOff>
      <xdr:row>11</xdr:row>
      <xdr:rowOff>516039</xdr:rowOff>
    </xdr:to>
    <xdr:pic>
      <xdr:nvPicPr>
        <xdr:cNvPr id="6" name="Picture 5">
          <a:extLst>
            <a:ext uri="{FF2B5EF4-FFF2-40B4-BE49-F238E27FC236}">
              <a16:creationId xmlns:a16="http://schemas.microsoft.com/office/drawing/2014/main" id="{40083DBD-27F1-F9C3-2920-D5F42C6EE7CF}"/>
            </a:ext>
          </a:extLst>
        </xdr:cNvPr>
        <xdr:cNvPicPr>
          <a:picLocks noChangeAspect="1"/>
        </xdr:cNvPicPr>
      </xdr:nvPicPr>
      <xdr:blipFill>
        <a:blip xmlns:r="http://schemas.openxmlformats.org/officeDocument/2006/relationships" r:embed="rId5"/>
        <a:stretch>
          <a:fillRect/>
        </a:stretch>
      </xdr:blipFill>
      <xdr:spPr>
        <a:xfrm>
          <a:off x="10160000" y="3294622"/>
          <a:ext cx="4457700" cy="3279317"/>
        </a:xfrm>
        <a:prstGeom prst="rect">
          <a:avLst/>
        </a:prstGeom>
        <a:ln>
          <a:solidFill>
            <a:schemeClr val="bg1">
              <a:lumMod val="85000"/>
            </a:schemeClr>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3186546</xdr:colOff>
      <xdr:row>20</xdr:row>
      <xdr:rowOff>75448</xdr:rowOff>
    </xdr:from>
    <xdr:to>
      <xdr:col>4</xdr:col>
      <xdr:colOff>264056</xdr:colOff>
      <xdr:row>20</xdr:row>
      <xdr:rowOff>377230</xdr:rowOff>
    </xdr:to>
    <xdr:sp macro="" textlink="">
      <xdr:nvSpPr>
        <xdr:cNvPr id="2" name="Right Arrow 1">
          <a:extLst>
            <a:ext uri="{FF2B5EF4-FFF2-40B4-BE49-F238E27FC236}">
              <a16:creationId xmlns:a16="http://schemas.microsoft.com/office/drawing/2014/main" id="{4DE8FCDE-D3C3-F942-BCD7-4BA236F360F7}"/>
            </a:ext>
          </a:extLst>
        </xdr:cNvPr>
        <xdr:cNvSpPr/>
      </xdr:nvSpPr>
      <xdr:spPr>
        <a:xfrm>
          <a:off x="4087091" y="6159903"/>
          <a:ext cx="402601" cy="301782"/>
        </a:xfrm>
        <a:prstGeom prst="rightArrow">
          <a:avLst/>
        </a:prstGeom>
        <a:solidFill>
          <a:srgbClr val="FFCE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editAs="oneCell">
        <xdr:from>
          <xdr:col>5</xdr:col>
          <xdr:colOff>200025</xdr:colOff>
          <xdr:row>5</xdr:row>
          <xdr:rowOff>304800</xdr:rowOff>
        </xdr:from>
        <xdr:to>
          <xdr:col>5</xdr:col>
          <xdr:colOff>1724025</xdr:colOff>
          <xdr:row>7</xdr:row>
          <xdr:rowOff>76200</xdr:rowOff>
        </xdr:to>
        <xdr:sp macro="" textlink="">
          <xdr:nvSpPr>
            <xdr:cNvPr id="2061" name="Option Button 13" descr="Exempté d’impôts"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1210" b="0" i="0" u="none" strike="noStrike" baseline="0">
                  <a:solidFill>
                    <a:srgbClr val="000000"/>
                  </a:solidFill>
                  <a:latin typeface="Aptos Narrow"/>
                </a:rPr>
                <a:t>Exempté d'impôts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4</xdr:row>
          <xdr:rowOff>238125</xdr:rowOff>
        </xdr:from>
        <xdr:to>
          <xdr:col>5</xdr:col>
          <xdr:colOff>1724025</xdr:colOff>
          <xdr:row>6</xdr:row>
          <xdr:rowOff>47625</xdr:rowOff>
        </xdr:to>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1200" b="0" i="0" u="none" strike="noStrike" baseline="0">
                  <a:solidFill>
                    <a:srgbClr val="000000"/>
                  </a:solidFill>
                  <a:latin typeface="Aptos Narrow"/>
                </a:rPr>
                <a:t>Revenus effectifs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7</xdr:row>
          <xdr:rowOff>9525</xdr:rowOff>
        </xdr:from>
        <xdr:to>
          <xdr:col>5</xdr:col>
          <xdr:colOff>1724025</xdr:colOff>
          <xdr:row>8</xdr:row>
          <xdr:rowOff>76200</xdr:rowOff>
        </xdr:to>
        <xdr:sp macro="" textlink="">
          <xdr:nvSpPr>
            <xdr:cNvPr id="2063" name="Option Button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1210" b="0" i="0" u="none" strike="noStrike" baseline="0">
                  <a:solidFill>
                    <a:srgbClr val="000000"/>
                  </a:solidFill>
                  <a:latin typeface="Aptos Narrow"/>
                </a:rPr>
                <a:t>Tarif maximal</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2879651</xdr:colOff>
      <xdr:row>71</xdr:row>
      <xdr:rowOff>162442</xdr:rowOff>
    </xdr:from>
    <xdr:to>
      <xdr:col>4</xdr:col>
      <xdr:colOff>166321</xdr:colOff>
      <xdr:row>72</xdr:row>
      <xdr:rowOff>168875</xdr:rowOff>
    </xdr:to>
    <xdr:sp macro="" textlink="">
      <xdr:nvSpPr>
        <xdr:cNvPr id="2" name="Right Arrow 1">
          <a:extLst>
            <a:ext uri="{FF2B5EF4-FFF2-40B4-BE49-F238E27FC236}">
              <a16:creationId xmlns:a16="http://schemas.microsoft.com/office/drawing/2014/main" id="{34E0CAA0-E396-A244-8AF1-ED42C5A830EE}"/>
            </a:ext>
          </a:extLst>
        </xdr:cNvPr>
        <xdr:cNvSpPr/>
      </xdr:nvSpPr>
      <xdr:spPr>
        <a:xfrm>
          <a:off x="3928139" y="20526744"/>
          <a:ext cx="402601" cy="301782"/>
        </a:xfrm>
        <a:prstGeom prst="rightArrow">
          <a:avLst/>
        </a:prstGeom>
        <a:solidFill>
          <a:srgbClr val="FFCE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361B3D-E647-CC44-A26B-5BCD05C25CD4}" name="Table1" displayName="Table1" ref="A2:E20" totalsRowShown="0" headerRowDxfId="0">
  <autoFilter ref="A2:E20" xr:uid="{66361B3D-E647-CC44-A26B-5BCD05C25CD4}"/>
  <tableColumns count="5">
    <tableColumn id="1" xr3:uid="{DCEFA696-AD9B-5745-9F99-FCCA33326563}" name="ID"/>
    <tableColumn id="2" xr3:uid="{960CF692-B59B-894E-8D5E-CFAAF63C2C46}" name="Action"/>
    <tableColumn id="4" xr3:uid="{77AB9B02-F72B-1A48-A8FE-7935ED607748}" name="Statut"/>
    <tableColumn id="3" xr3:uid="{6E518AC0-5ED5-7F42-8A6F-72ED7A9E71FF}" name="Version"/>
    <tableColumn id="5" xr3:uid="{EDB4460D-44B3-FC4D-8728-53E8FC2A8ABF}" name="commentaires"/>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Aspect">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hyperlink" Target="mailto:reseau@asse-boiron.ch" TargetMode="External"/><Relationship Id="rId2" Type="http://schemas.openxmlformats.org/officeDocument/2006/relationships/hyperlink" Target="mailto:subventions@asse-boiron.ch" TargetMode="External"/><Relationship Id="rId1" Type="http://schemas.openxmlformats.org/officeDocument/2006/relationships/hyperlink" Target="http://www.asse-boiron.ch/" TargetMode="Externa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hyperlink" Target="https://asse-boiron.ch/wp-content/uploads/2026/09/ASSE-et-BOIRON_REGLT-TARIFAIRE_1.1.2027.pdf" TargetMode="External"/><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hyperlink" Target="https://asse-boiron.ch/wp-content/uploads/2026/09/ASSE-et-BOIRON_REGLT-TARIFAIRE_1.1.2027.pdf" TargetMode="External"/><Relationship Id="rId2" Type="http://schemas.openxmlformats.org/officeDocument/2006/relationships/hyperlink" Target="https://asse-boiron.ch/wp-content/uploads/2026/09/ASSE-et-BOIRON_REGLT-TARIFAIRE_1.1.2027.pdf" TargetMode="External"/><Relationship Id="rId1" Type="http://schemas.openxmlformats.org/officeDocument/2006/relationships/hyperlink" Target="https://asse-boiron.ch/wp-content/uploads/2026/09/ASSE-et-BOIRON_REGLT-TARIFAIRE_1.1.2027.pdf" TargetMode="External"/><Relationship Id="rId6" Type="http://schemas.openxmlformats.org/officeDocument/2006/relationships/drawing" Target="../drawings/drawing3.xml"/><Relationship Id="rId5" Type="http://schemas.openxmlformats.org/officeDocument/2006/relationships/hyperlink" Target="https://asse-boiron.ch/wp-content/uploads/2026/09/ASSE-et-BOIRON_REGLT-TARIFAIRE_1.1.2027.pdf" TargetMode="External"/><Relationship Id="rId4" Type="http://schemas.openxmlformats.org/officeDocument/2006/relationships/hyperlink" Target="https://asse-boiron.ch/wp-content/uploads/2026/09/ASSE-et-BOIRON_REGLT-TARIFAIRE_1.1.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FD14E-F8B0-DA4A-8D40-7E7563148424}">
  <dimension ref="A1:E20"/>
  <sheetViews>
    <sheetView showGridLines="0" workbookViewId="0">
      <selection activeCell="C21" sqref="C21"/>
    </sheetView>
  </sheetViews>
  <sheetFormatPr baseColWidth="10" defaultRowHeight="15.75"/>
  <cols>
    <col min="1" max="1" width="6.375" customWidth="1"/>
    <col min="2" max="2" width="66.375" customWidth="1"/>
    <col min="3" max="3" width="15.625" customWidth="1"/>
    <col min="5" max="5" width="73.125" bestFit="1" customWidth="1"/>
  </cols>
  <sheetData>
    <row r="1" spans="1:5" ht="54.95" customHeight="1">
      <c r="A1" s="320" t="s">
        <v>62</v>
      </c>
      <c r="B1" s="320"/>
      <c r="C1" s="320"/>
      <c r="D1" s="320"/>
    </row>
    <row r="2" spans="1:5">
      <c r="A2" s="1" t="s">
        <v>188</v>
      </c>
      <c r="B2" s="1" t="s">
        <v>187</v>
      </c>
      <c r="C2" s="1" t="s">
        <v>193</v>
      </c>
      <c r="D2" s="1" t="s">
        <v>189</v>
      </c>
      <c r="E2" s="1" t="s">
        <v>201</v>
      </c>
    </row>
    <row r="3" spans="1:5">
      <c r="A3">
        <v>1</v>
      </c>
      <c r="B3" t="s">
        <v>221</v>
      </c>
      <c r="C3" t="s">
        <v>196</v>
      </c>
      <c r="D3" t="s">
        <v>190</v>
      </c>
    </row>
    <row r="4" spans="1:5">
      <c r="A4">
        <v>3</v>
      </c>
      <c r="B4" t="s">
        <v>191</v>
      </c>
      <c r="C4" t="s">
        <v>196</v>
      </c>
      <c r="D4" t="s">
        <v>190</v>
      </c>
    </row>
    <row r="5" spans="1:5">
      <c r="A5">
        <v>4</v>
      </c>
      <c r="B5" t="s">
        <v>223</v>
      </c>
      <c r="C5" t="s">
        <v>196</v>
      </c>
      <c r="D5" t="s">
        <v>190</v>
      </c>
    </row>
    <row r="6" spans="1:5">
      <c r="A6">
        <v>5</v>
      </c>
      <c r="B6" t="s">
        <v>192</v>
      </c>
      <c r="C6" t="s">
        <v>196</v>
      </c>
      <c r="D6" t="s">
        <v>190</v>
      </c>
    </row>
    <row r="7" spans="1:5">
      <c r="A7">
        <v>6</v>
      </c>
      <c r="B7" t="s">
        <v>195</v>
      </c>
      <c r="C7" t="s">
        <v>196</v>
      </c>
      <c r="D7" t="s">
        <v>190</v>
      </c>
    </row>
    <row r="8" spans="1:5">
      <c r="A8">
        <v>7</v>
      </c>
      <c r="B8" t="s">
        <v>220</v>
      </c>
      <c r="C8" t="s">
        <v>196</v>
      </c>
      <c r="D8" t="s">
        <v>190</v>
      </c>
    </row>
    <row r="9" spans="1:5">
      <c r="A9">
        <v>8</v>
      </c>
      <c r="B9" t="s">
        <v>219</v>
      </c>
      <c r="C9" t="s">
        <v>196</v>
      </c>
      <c r="D9" t="s">
        <v>190</v>
      </c>
    </row>
    <row r="10" spans="1:5">
      <c r="A10">
        <v>9</v>
      </c>
      <c r="B10" t="s">
        <v>218</v>
      </c>
      <c r="C10" t="s">
        <v>196</v>
      </c>
      <c r="D10" t="s">
        <v>190</v>
      </c>
    </row>
    <row r="11" spans="1:5">
      <c r="A11">
        <v>10</v>
      </c>
      <c r="B11" t="s">
        <v>217</v>
      </c>
      <c r="C11" t="s">
        <v>196</v>
      </c>
      <c r="D11" t="s">
        <v>190</v>
      </c>
    </row>
    <row r="12" spans="1:5">
      <c r="A12">
        <v>11</v>
      </c>
      <c r="B12" t="s">
        <v>216</v>
      </c>
      <c r="C12" t="s">
        <v>196</v>
      </c>
      <c r="D12" t="s">
        <v>190</v>
      </c>
    </row>
    <row r="13" spans="1:5">
      <c r="A13">
        <v>12</v>
      </c>
      <c r="B13" t="s">
        <v>222</v>
      </c>
      <c r="C13" t="s">
        <v>196</v>
      </c>
      <c r="D13" t="s">
        <v>190</v>
      </c>
    </row>
    <row r="14" spans="1:5">
      <c r="A14">
        <v>13</v>
      </c>
      <c r="B14" t="s">
        <v>231</v>
      </c>
      <c r="C14" t="s">
        <v>196</v>
      </c>
      <c r="D14" t="s">
        <v>262</v>
      </c>
      <c r="E14" t="s">
        <v>232</v>
      </c>
    </row>
    <row r="15" spans="1:5">
      <c r="A15">
        <v>14</v>
      </c>
      <c r="B15" t="s">
        <v>233</v>
      </c>
      <c r="C15" t="s">
        <v>196</v>
      </c>
      <c r="D15" t="s">
        <v>190</v>
      </c>
    </row>
    <row r="16" spans="1:5">
      <c r="A16">
        <v>15</v>
      </c>
      <c r="B16" t="s">
        <v>241</v>
      </c>
      <c r="C16" t="s">
        <v>196</v>
      </c>
      <c r="D16" t="s">
        <v>244</v>
      </c>
    </row>
    <row r="17" spans="1:4">
      <c r="A17">
        <v>16</v>
      </c>
      <c r="B17" t="s">
        <v>243</v>
      </c>
      <c r="C17" t="s">
        <v>196</v>
      </c>
      <c r="D17" t="s">
        <v>244</v>
      </c>
    </row>
    <row r="18" spans="1:4">
      <c r="A18">
        <v>17</v>
      </c>
      <c r="B18" t="s">
        <v>250</v>
      </c>
      <c r="C18" t="s">
        <v>196</v>
      </c>
      <c r="D18" t="s">
        <v>262</v>
      </c>
    </row>
    <row r="19" spans="1:4">
      <c r="A19">
        <v>18</v>
      </c>
      <c r="B19" t="s">
        <v>263</v>
      </c>
      <c r="C19" t="s">
        <v>196</v>
      </c>
      <c r="D19" t="s">
        <v>261</v>
      </c>
    </row>
    <row r="20" spans="1:4">
      <c r="A20">
        <v>19</v>
      </c>
      <c r="B20" t="s">
        <v>267</v>
      </c>
      <c r="C20" t="s">
        <v>196</v>
      </c>
      <c r="D20" t="s">
        <v>268</v>
      </c>
    </row>
  </sheetData>
  <mergeCells count="1">
    <mergeCell ref="A1:D1"/>
  </mergeCells>
  <phoneticPr fontId="7"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AF48B-3F5B-9544-89C3-046E5D2634E1}">
  <sheetPr codeName="Sheet1"/>
  <dimension ref="B2:R29"/>
  <sheetViews>
    <sheetView showGridLines="0" topLeftCell="B1" workbookViewId="0">
      <selection activeCell="F14" sqref="F14"/>
    </sheetView>
  </sheetViews>
  <sheetFormatPr baseColWidth="10" defaultRowHeight="15.75"/>
  <cols>
    <col min="1" max="1" width="1.875" customWidth="1"/>
    <col min="2" max="2" width="27.875" customWidth="1"/>
    <col min="3" max="3" width="18.375" customWidth="1"/>
    <col min="4" max="4" width="19.125" bestFit="1" customWidth="1"/>
    <col min="5" max="5" width="19.125" customWidth="1"/>
    <col min="6" max="6" width="36" customWidth="1"/>
    <col min="7" max="7" width="10.5" customWidth="1"/>
    <col min="8" max="8" width="4" customWidth="1"/>
    <col min="9" max="9" width="23.375" customWidth="1"/>
    <col min="10" max="10" width="7" customWidth="1"/>
    <col min="11" max="11" width="3.625" customWidth="1"/>
    <col min="12" max="12" width="15.375" bestFit="1" customWidth="1"/>
    <col min="13" max="13" width="6.125" customWidth="1"/>
    <col min="14" max="14" width="7.375" customWidth="1"/>
    <col min="15" max="15" width="3.625" customWidth="1"/>
  </cols>
  <sheetData>
    <row r="2" spans="2:18">
      <c r="B2" s="239" t="s">
        <v>13</v>
      </c>
      <c r="C2" s="239"/>
      <c r="D2" s="239"/>
      <c r="E2" s="239"/>
      <c r="F2" s="239"/>
      <c r="G2" s="239"/>
      <c r="I2" s="239" t="s">
        <v>166</v>
      </c>
      <c r="J2" s="239"/>
      <c r="K2" s="239"/>
      <c r="L2" s="239"/>
      <c r="M2" s="239"/>
      <c r="N2" s="239"/>
      <c r="P2" s="261" t="s">
        <v>144</v>
      </c>
      <c r="Q2" s="261" t="s">
        <v>89</v>
      </c>
      <c r="R2" s="261" t="s">
        <v>90</v>
      </c>
    </row>
    <row r="3" spans="2:18" ht="24" customHeight="1">
      <c r="B3" s="41" t="s">
        <v>6</v>
      </c>
      <c r="C3" s="41" t="s">
        <v>66</v>
      </c>
      <c r="D3" s="41" t="s">
        <v>67</v>
      </c>
      <c r="E3" s="252" t="s">
        <v>156</v>
      </c>
      <c r="F3" s="41" t="s">
        <v>148</v>
      </c>
      <c r="G3" s="254"/>
      <c r="I3" s="246" t="s">
        <v>17</v>
      </c>
      <c r="J3" s="245"/>
      <c r="K3" s="245"/>
      <c r="L3" s="246" t="s">
        <v>18</v>
      </c>
      <c r="M3" s="246" t="s">
        <v>207</v>
      </c>
      <c r="N3" s="246" t="s">
        <v>208</v>
      </c>
      <c r="P3" s="34">
        <v>1</v>
      </c>
      <c r="Q3" s="34">
        <v>0</v>
      </c>
      <c r="R3" s="34">
        <v>3000</v>
      </c>
    </row>
    <row r="4" spans="2:18" ht="15.95" customHeight="1">
      <c r="B4" s="34"/>
      <c r="C4" s="34"/>
      <c r="D4" s="251"/>
      <c r="E4" s="251"/>
      <c r="F4" s="34"/>
      <c r="G4" s="251"/>
      <c r="I4" s="245" t="s">
        <v>68</v>
      </c>
      <c r="J4" s="245">
        <v>0</v>
      </c>
      <c r="K4" s="245"/>
      <c r="L4" s="245" t="s">
        <v>209</v>
      </c>
      <c r="M4" s="245">
        <v>2</v>
      </c>
      <c r="N4" s="245">
        <v>0</v>
      </c>
      <c r="P4" s="34">
        <v>2</v>
      </c>
      <c r="Q4" s="34">
        <v>3000</v>
      </c>
      <c r="R4" s="34">
        <v>3360</v>
      </c>
    </row>
    <row r="5" spans="2:18">
      <c r="B5" s="34" t="s">
        <v>96</v>
      </c>
      <c r="C5" s="34" t="s">
        <v>145</v>
      </c>
      <c r="D5" s="34" t="s">
        <v>52</v>
      </c>
      <c r="E5" s="251" t="s">
        <v>155</v>
      </c>
      <c r="F5" s="34" t="s">
        <v>14</v>
      </c>
      <c r="G5" s="251">
        <v>2</v>
      </c>
      <c r="I5" s="245" t="s">
        <v>143</v>
      </c>
      <c r="J5" s="245">
        <v>1</v>
      </c>
      <c r="K5" s="245"/>
      <c r="L5" s="245" t="s">
        <v>194</v>
      </c>
      <c r="M5" s="245">
        <v>1</v>
      </c>
      <c r="N5" s="245">
        <v>1</v>
      </c>
      <c r="P5" s="34">
        <v>3</v>
      </c>
      <c r="Q5" s="34">
        <v>3361</v>
      </c>
      <c r="R5" s="34">
        <v>3720</v>
      </c>
    </row>
    <row r="6" spans="2:18" ht="17.100000000000001" customHeight="1">
      <c r="B6" s="34" t="s">
        <v>95</v>
      </c>
      <c r="C6" s="34" t="s">
        <v>52</v>
      </c>
      <c r="D6" s="34" t="s">
        <v>130</v>
      </c>
      <c r="E6" s="251"/>
      <c r="F6" s="34" t="s">
        <v>128</v>
      </c>
      <c r="G6" s="251">
        <v>1</v>
      </c>
      <c r="I6" s="245"/>
      <c r="J6" s="245"/>
      <c r="K6" s="245"/>
      <c r="L6" s="245" t="s">
        <v>202</v>
      </c>
      <c r="M6" s="245">
        <v>3</v>
      </c>
      <c r="N6" s="245">
        <v>1</v>
      </c>
      <c r="P6" s="34">
        <v>4</v>
      </c>
      <c r="Q6" s="34">
        <v>3721</v>
      </c>
      <c r="R6" s="34">
        <v>4080</v>
      </c>
    </row>
    <row r="7" spans="2:18">
      <c r="B7" s="34" t="s">
        <v>7</v>
      </c>
      <c r="C7" s="34" t="s">
        <v>4</v>
      </c>
      <c r="D7" s="34" t="s">
        <v>159</v>
      </c>
      <c r="E7" s="41" t="s">
        <v>167</v>
      </c>
      <c r="F7" s="34" t="s">
        <v>8</v>
      </c>
      <c r="G7" s="296"/>
      <c r="P7" s="34">
        <v>5</v>
      </c>
      <c r="Q7" s="34">
        <v>4081</v>
      </c>
      <c r="R7" s="34">
        <v>4440</v>
      </c>
    </row>
    <row r="8" spans="2:18">
      <c r="B8" s="34" t="s">
        <v>5</v>
      </c>
      <c r="C8" s="34" t="s">
        <v>130</v>
      </c>
      <c r="D8" s="34"/>
      <c r="E8" s="262">
        <v>0.25</v>
      </c>
      <c r="F8" s="34" t="s">
        <v>15</v>
      </c>
      <c r="G8" s="251">
        <v>2</v>
      </c>
      <c r="P8" s="34">
        <v>6</v>
      </c>
      <c r="Q8" s="34">
        <v>4441</v>
      </c>
      <c r="R8" s="34">
        <v>4800</v>
      </c>
    </row>
    <row r="9" spans="2:18">
      <c r="B9" s="34"/>
      <c r="C9" s="34"/>
      <c r="D9" s="34"/>
      <c r="E9" s="262">
        <v>0.83333333333333337</v>
      </c>
      <c r="F9" s="34" t="s">
        <v>175</v>
      </c>
      <c r="G9" s="251"/>
      <c r="P9" s="34">
        <v>7</v>
      </c>
      <c r="Q9" s="34">
        <v>4801</v>
      </c>
      <c r="R9" s="34">
        <v>5160</v>
      </c>
    </row>
    <row r="10" spans="2:18">
      <c r="B10" s="34"/>
      <c r="C10" s="34" t="s">
        <v>147</v>
      </c>
      <c r="D10" s="34"/>
      <c r="E10" s="251"/>
      <c r="F10" s="34" t="s">
        <v>176</v>
      </c>
      <c r="G10" s="251"/>
      <c r="P10" s="34">
        <v>8</v>
      </c>
      <c r="Q10" s="34">
        <v>5161</v>
      </c>
      <c r="R10" s="34">
        <v>5520</v>
      </c>
    </row>
    <row r="11" spans="2:18">
      <c r="B11" s="41" t="s">
        <v>127</v>
      </c>
      <c r="C11" s="34"/>
      <c r="D11" s="34"/>
      <c r="E11" s="251"/>
      <c r="F11" s="34" t="s">
        <v>177</v>
      </c>
      <c r="G11" s="251"/>
      <c r="P11" s="34">
        <v>9</v>
      </c>
      <c r="Q11" s="34">
        <v>5521</v>
      </c>
      <c r="R11" s="34">
        <v>5880</v>
      </c>
    </row>
    <row r="12" spans="2:18">
      <c r="B12" s="34"/>
      <c r="C12" s="41"/>
      <c r="D12" s="34"/>
      <c r="E12" s="251"/>
      <c r="F12" s="34" t="s">
        <v>178</v>
      </c>
      <c r="G12" s="251"/>
      <c r="P12" s="34">
        <v>10</v>
      </c>
      <c r="Q12" s="34">
        <v>5881</v>
      </c>
      <c r="R12" s="34">
        <v>6240</v>
      </c>
    </row>
    <row r="13" spans="2:18">
      <c r="B13" s="34" t="s">
        <v>126</v>
      </c>
      <c r="C13" s="262"/>
      <c r="D13" s="34"/>
      <c r="E13" s="251"/>
      <c r="F13" s="34" t="s">
        <v>179</v>
      </c>
      <c r="G13" s="34"/>
      <c r="P13" s="34">
        <v>11</v>
      </c>
      <c r="Q13" s="34">
        <v>6241</v>
      </c>
      <c r="R13" s="34">
        <v>6600</v>
      </c>
    </row>
    <row r="14" spans="2:18">
      <c r="B14" s="34"/>
      <c r="C14" s="262"/>
      <c r="D14" s="34"/>
      <c r="E14" s="41" t="s">
        <v>227</v>
      </c>
      <c r="F14" s="34" t="s">
        <v>180</v>
      </c>
      <c r="G14" s="34"/>
      <c r="P14" s="34">
        <v>12</v>
      </c>
      <c r="Q14" s="34">
        <v>6601</v>
      </c>
      <c r="R14" s="34">
        <v>6960</v>
      </c>
    </row>
    <row r="15" spans="2:18">
      <c r="B15" s="34"/>
      <c r="C15" s="34"/>
      <c r="D15" s="34"/>
      <c r="E15" s="34" t="s">
        <v>225</v>
      </c>
      <c r="F15" s="41" t="s">
        <v>237</v>
      </c>
      <c r="G15" s="251"/>
      <c r="P15" s="34">
        <v>13</v>
      </c>
      <c r="Q15" s="34">
        <v>6961</v>
      </c>
      <c r="R15" s="34">
        <v>7320</v>
      </c>
    </row>
    <row r="16" spans="2:18">
      <c r="B16" s="34"/>
      <c r="C16" s="34"/>
      <c r="D16" s="34"/>
      <c r="E16" s="34" t="s">
        <v>226</v>
      </c>
      <c r="F16" s="34" t="s">
        <v>170</v>
      </c>
      <c r="G16" s="251">
        <v>4</v>
      </c>
      <c r="P16" s="34">
        <v>14</v>
      </c>
      <c r="Q16" s="34">
        <v>7321</v>
      </c>
      <c r="R16" s="34">
        <v>7680</v>
      </c>
    </row>
    <row r="17" spans="2:18">
      <c r="B17" s="34"/>
      <c r="C17" s="34"/>
      <c r="D17" s="34"/>
      <c r="E17" s="34"/>
      <c r="F17" s="34" t="s">
        <v>171</v>
      </c>
      <c r="G17" s="251">
        <v>6</v>
      </c>
      <c r="P17" s="34">
        <v>15</v>
      </c>
      <c r="Q17" s="34">
        <v>7681</v>
      </c>
      <c r="R17" s="34">
        <v>8040</v>
      </c>
    </row>
    <row r="18" spans="2:18">
      <c r="B18" s="34"/>
      <c r="C18" s="41"/>
      <c r="D18" s="34"/>
      <c r="E18" s="34"/>
      <c r="F18" s="34" t="s">
        <v>172</v>
      </c>
      <c r="G18" s="251">
        <v>7</v>
      </c>
      <c r="P18" s="34">
        <v>16</v>
      </c>
      <c r="Q18" s="34">
        <v>8041</v>
      </c>
      <c r="R18" s="34">
        <v>8400</v>
      </c>
    </row>
    <row r="19" spans="2:18">
      <c r="B19" s="34"/>
      <c r="C19" s="262"/>
      <c r="D19" s="34"/>
      <c r="E19" s="34"/>
      <c r="F19" s="34" t="s">
        <v>173</v>
      </c>
      <c r="G19" s="251">
        <v>8</v>
      </c>
      <c r="P19" s="34">
        <v>17</v>
      </c>
      <c r="Q19" s="34">
        <v>8401</v>
      </c>
      <c r="R19" s="34">
        <v>8760</v>
      </c>
    </row>
    <row r="20" spans="2:18">
      <c r="B20" s="34"/>
      <c r="C20" s="262"/>
      <c r="D20" s="34"/>
      <c r="E20" s="34"/>
      <c r="F20" s="34"/>
      <c r="G20" s="34"/>
      <c r="P20" s="34">
        <v>18</v>
      </c>
      <c r="Q20" s="34">
        <v>8761</v>
      </c>
      <c r="R20" s="34">
        <v>9120</v>
      </c>
    </row>
    <row r="21" spans="2:18">
      <c r="P21" s="34">
        <v>19</v>
      </c>
      <c r="Q21" s="34">
        <v>9121</v>
      </c>
      <c r="R21" s="34">
        <v>9480</v>
      </c>
    </row>
    <row r="22" spans="2:18">
      <c r="P22" s="34">
        <v>20</v>
      </c>
      <c r="Q22" s="34">
        <v>9481</v>
      </c>
      <c r="R22" s="34">
        <v>9840</v>
      </c>
    </row>
    <row r="23" spans="2:18">
      <c r="P23" s="34">
        <v>21</v>
      </c>
      <c r="Q23" s="34">
        <v>9841</v>
      </c>
      <c r="R23" s="34">
        <v>10200</v>
      </c>
    </row>
    <row r="24" spans="2:18">
      <c r="P24" s="34">
        <v>22</v>
      </c>
      <c r="Q24" s="34">
        <v>10201</v>
      </c>
      <c r="R24" s="34">
        <v>10560</v>
      </c>
    </row>
    <row r="25" spans="2:18">
      <c r="P25" s="34">
        <v>23</v>
      </c>
      <c r="Q25" s="34">
        <v>10561</v>
      </c>
      <c r="R25" s="34">
        <v>10920</v>
      </c>
    </row>
    <row r="26" spans="2:18">
      <c r="P26" s="34">
        <v>24</v>
      </c>
      <c r="Q26" s="34">
        <v>10921</v>
      </c>
      <c r="R26" s="34">
        <v>11280</v>
      </c>
    </row>
    <row r="27" spans="2:18">
      <c r="P27" s="34">
        <v>25</v>
      </c>
      <c r="Q27" s="34">
        <v>11281</v>
      </c>
      <c r="R27" s="34">
        <v>11640</v>
      </c>
    </row>
    <row r="28" spans="2:18">
      <c r="P28" s="34">
        <v>26</v>
      </c>
      <c r="Q28" s="34">
        <v>11641</v>
      </c>
      <c r="R28" s="34">
        <v>12000</v>
      </c>
    </row>
    <row r="29" spans="2:18">
      <c r="P29" s="34">
        <v>27</v>
      </c>
      <c r="Q29" s="34">
        <v>12001</v>
      </c>
      <c r="R29" s="34">
        <v>12001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32CA8-2D47-7C42-9A7A-0DA785051865}">
  <sheetPr codeName="Sheet2"/>
  <dimension ref="B1:G18"/>
  <sheetViews>
    <sheetView showGridLines="0" tabSelected="1" zoomScaleNormal="100" workbookViewId="0">
      <selection activeCell="G4" sqref="G4"/>
    </sheetView>
  </sheetViews>
  <sheetFormatPr baseColWidth="10" defaultColWidth="2.875" defaultRowHeight="21"/>
  <cols>
    <col min="1" max="1" width="1.625" style="31" customWidth="1"/>
    <col min="2" max="2" width="59.5" style="31" customWidth="1"/>
    <col min="3" max="3" width="4.5" style="31" customWidth="1"/>
    <col min="4" max="4" width="40.875" style="31" customWidth="1"/>
    <col min="5" max="5" width="31.125" style="31" customWidth="1"/>
    <col min="6" max="6" width="4.5" style="31" customWidth="1"/>
    <col min="7" max="7" width="59.125" style="31" customWidth="1"/>
    <col min="8" max="8" width="18.375" style="31" customWidth="1"/>
    <col min="9" max="16384" width="2.875" style="31"/>
  </cols>
  <sheetData>
    <row r="1" spans="2:7" ht="39" customHeight="1">
      <c r="B1" s="29"/>
      <c r="C1" s="29"/>
      <c r="D1" s="29"/>
      <c r="E1" s="29"/>
      <c r="F1" s="29"/>
      <c r="G1" s="29"/>
    </row>
    <row r="2" spans="2:7" ht="29.1" customHeight="1">
      <c r="B2" s="29"/>
      <c r="C2" s="29"/>
      <c r="D2" s="29"/>
      <c r="E2" s="29"/>
      <c r="F2" s="29"/>
      <c r="G2" s="29"/>
    </row>
    <row r="3" spans="2:7" ht="9.9499999999999993" customHeight="1" thickBot="1"/>
    <row r="4" spans="2:7" ht="48" customHeight="1" thickBot="1">
      <c r="C4" s="32"/>
      <c r="E4" s="271" t="s">
        <v>266</v>
      </c>
      <c r="F4" s="276" t="s">
        <v>186</v>
      </c>
      <c r="G4" s="30" t="str">
        <f>HYPERLINK("#Résumé!B2","DEMARRER")</f>
        <v>DEMARRER</v>
      </c>
    </row>
    <row r="5" spans="2:7" ht="24" customHeight="1">
      <c r="B5" s="32" t="s">
        <v>197</v>
      </c>
    </row>
    <row r="6" spans="2:7" ht="24" customHeight="1">
      <c r="B6" s="31" t="s">
        <v>198</v>
      </c>
    </row>
    <row r="7" spans="2:7" ht="24" customHeight="1">
      <c r="B7" s="31" t="s">
        <v>184</v>
      </c>
    </row>
    <row r="8" spans="2:7" ht="21.95" customHeight="1"/>
    <row r="9" spans="2:7" s="269" customFormat="1" ht="27" customHeight="1">
      <c r="B9" s="270" t="s">
        <v>185</v>
      </c>
      <c r="C9" s="48"/>
      <c r="D9" s="272" t="s">
        <v>183</v>
      </c>
      <c r="E9" s="273"/>
      <c r="G9" s="270" t="s">
        <v>53</v>
      </c>
    </row>
    <row r="10" spans="2:7" ht="204.95" customHeight="1"/>
    <row r="11" spans="2:7" ht="24.95" customHeight="1"/>
    <row r="12" spans="2:7" ht="42" customHeight="1">
      <c r="B12" s="31" t="s">
        <v>65</v>
      </c>
    </row>
    <row r="13" spans="2:7">
      <c r="B13" s="32" t="s">
        <v>64</v>
      </c>
      <c r="C13" s="32"/>
      <c r="D13" s="32"/>
      <c r="G13" s="33"/>
    </row>
    <row r="14" spans="2:7" ht="38.1" customHeight="1">
      <c r="B14" s="31" t="s">
        <v>238</v>
      </c>
      <c r="E14" s="277" t="s">
        <v>200</v>
      </c>
    </row>
    <row r="15" spans="2:7">
      <c r="B15" s="31" t="s">
        <v>239</v>
      </c>
      <c r="C15" s="33"/>
      <c r="E15" s="277" t="s">
        <v>63</v>
      </c>
    </row>
    <row r="16" spans="2:7">
      <c r="B16" s="31" t="s">
        <v>240</v>
      </c>
      <c r="E16" s="274" t="s">
        <v>199</v>
      </c>
    </row>
    <row r="17" spans="2:4">
      <c r="B17" s="32"/>
      <c r="C17" s="32"/>
      <c r="D17" s="32"/>
    </row>
    <row r="18" spans="2:4" ht="36.950000000000003" customHeight="1"/>
  </sheetData>
  <sheetProtection sheet="1" objects="1" scenarios="1"/>
  <hyperlinks>
    <hyperlink ref="E14" r:id="rId1" xr:uid="{963891AC-B4A5-BB4F-9F24-240F31651943}"/>
    <hyperlink ref="E16" r:id="rId2" xr:uid="{C3C078F6-E5AE-F245-86ED-F0B0D0A213DB}"/>
    <hyperlink ref="E15" r:id="rId3" xr:uid="{A56204CC-D5D8-FC4E-8BB6-5A522A8C2AC1}"/>
  </hyperlinks>
  <pageMargins left="0.7" right="0.7" top="0.75" bottom="0.75" header="0.3" footer="0.3"/>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7E4E3-E1B0-D24C-8AE1-15446D3676BB}">
  <sheetPr codeName="Sheet3"/>
  <dimension ref="B1:K41"/>
  <sheetViews>
    <sheetView showGridLines="0" zoomScale="110" workbookViewId="0">
      <selection activeCell="B2" sqref="B2:B18"/>
    </sheetView>
  </sheetViews>
  <sheetFormatPr baseColWidth="10" defaultRowHeight="15.75" outlineLevelCol="1"/>
  <cols>
    <col min="1" max="1" width="2.625" customWidth="1"/>
    <col min="2" max="2" width="6.5" customWidth="1"/>
    <col min="3" max="3" width="2.5" customWidth="1"/>
    <col min="4" max="4" width="41" customWidth="1"/>
    <col min="5" max="5" width="6.125" customWidth="1"/>
    <col min="6" max="6" width="27.5" customWidth="1"/>
    <col min="7" max="7" width="108.375" customWidth="1"/>
    <col min="8" max="8" width="5.375" customWidth="1"/>
    <col min="9" max="9" width="14.5" hidden="1" customWidth="1" outlineLevel="1"/>
    <col min="10" max="10" width="22.375" hidden="1" customWidth="1" outlineLevel="1"/>
    <col min="11" max="11" width="10.875" collapsed="1"/>
  </cols>
  <sheetData>
    <row r="1" spans="2:10" ht="21" customHeight="1"/>
    <row r="2" spans="2:10" ht="36" customHeight="1">
      <c r="B2" s="323">
        <v>1</v>
      </c>
      <c r="C2" s="34"/>
      <c r="D2" s="35" t="s">
        <v>21</v>
      </c>
      <c r="E2" s="49"/>
      <c r="F2" s="49"/>
      <c r="G2" s="281" t="s">
        <v>51</v>
      </c>
      <c r="I2" s="10"/>
      <c r="J2" s="10"/>
    </row>
    <row r="3" spans="2:10" ht="15.95" customHeight="1">
      <c r="B3" s="323"/>
      <c r="C3" s="34"/>
      <c r="D3" s="34"/>
      <c r="E3" s="34"/>
      <c r="F3" s="34"/>
      <c r="G3" s="34"/>
      <c r="I3" s="10"/>
      <c r="J3" s="10"/>
    </row>
    <row r="4" spans="2:10" ht="24.95" customHeight="1">
      <c r="B4" s="323"/>
      <c r="C4" s="34"/>
      <c r="D4" s="48" t="s">
        <v>203</v>
      </c>
      <c r="E4" s="34"/>
      <c r="F4" s="25" t="s">
        <v>68</v>
      </c>
      <c r="G4" s="46" t="s">
        <v>206</v>
      </c>
      <c r="I4" s="10" t="s">
        <v>22</v>
      </c>
      <c r="J4" s="245">
        <f>VLOOKUP($F4,Data!$I$4:$J$5,2,FALSE)</f>
        <v>0</v>
      </c>
    </row>
    <row r="5" spans="2:10" ht="18.95" customHeight="1">
      <c r="B5" s="323"/>
      <c r="C5" s="34"/>
      <c r="D5" s="45"/>
      <c r="E5" s="34"/>
      <c r="F5" s="50"/>
      <c r="G5" s="34"/>
      <c r="I5" s="10"/>
      <c r="J5" s="10"/>
    </row>
    <row r="6" spans="2:10" ht="24.95" customHeight="1">
      <c r="B6" s="323"/>
      <c r="C6" s="34"/>
      <c r="D6" s="48" t="s">
        <v>235</v>
      </c>
      <c r="E6" s="34"/>
      <c r="F6" s="289">
        <v>2</v>
      </c>
      <c r="G6" s="46" t="s">
        <v>204</v>
      </c>
      <c r="I6" s="10" t="s">
        <v>23</v>
      </c>
      <c r="J6" s="10">
        <f>VLOOKUP($F6,Data!$M$4:$N$6,2,FALSE)</f>
        <v>0</v>
      </c>
    </row>
    <row r="7" spans="2:10" ht="24.95" customHeight="1">
      <c r="B7" s="323"/>
      <c r="C7" s="34"/>
      <c r="D7" s="278"/>
      <c r="E7" s="34"/>
      <c r="F7" s="290"/>
      <c r="G7" s="46" t="s">
        <v>242</v>
      </c>
      <c r="I7" s="10"/>
      <c r="J7" s="10"/>
    </row>
    <row r="8" spans="2:10" ht="24.95" customHeight="1">
      <c r="B8" s="323"/>
      <c r="C8" s="34"/>
      <c r="D8" s="48"/>
      <c r="E8" s="34"/>
      <c r="F8" s="290"/>
      <c r="G8" s="46" t="s">
        <v>236</v>
      </c>
      <c r="I8" s="10"/>
      <c r="J8" s="10"/>
    </row>
    <row r="9" spans="2:10" ht="24.95" customHeight="1">
      <c r="B9" s="323"/>
      <c r="C9" s="34"/>
      <c r="D9" s="48"/>
      <c r="E9" s="34"/>
      <c r="F9" s="46"/>
      <c r="G9" s="34"/>
      <c r="I9" s="10"/>
      <c r="J9" s="10"/>
    </row>
    <row r="10" spans="2:10" ht="18.95" customHeight="1">
      <c r="B10" s="323"/>
      <c r="C10" s="34"/>
      <c r="D10" s="45"/>
      <c r="E10" s="34"/>
      <c r="F10" s="34"/>
      <c r="G10" s="34"/>
      <c r="I10" s="10"/>
      <c r="J10" s="10"/>
    </row>
    <row r="11" spans="2:10" ht="24.95" customHeight="1">
      <c r="B11" s="323"/>
      <c r="C11" s="34"/>
      <c r="D11" s="48" t="s">
        <v>249</v>
      </c>
      <c r="E11" s="34"/>
      <c r="F11" s="26"/>
      <c r="G11" s="324" t="s">
        <v>205</v>
      </c>
      <c r="I11" s="10" t="s">
        <v>60</v>
      </c>
      <c r="J11" s="54">
        <f>VLOOKUP($F$11/12, Data!$Q$3:$R$29, 2, TRUE)</f>
        <v>3000</v>
      </c>
    </row>
    <row r="12" spans="2:10" ht="36.950000000000003" customHeight="1">
      <c r="B12" s="323"/>
      <c r="C12" s="34"/>
      <c r="D12" s="279" t="s">
        <v>210</v>
      </c>
      <c r="E12" s="34"/>
      <c r="F12" s="34"/>
      <c r="G12" s="324"/>
      <c r="I12" s="10"/>
      <c r="J12" s="10"/>
    </row>
    <row r="13" spans="2:10" ht="54" customHeight="1">
      <c r="B13" s="323"/>
      <c r="C13" s="34"/>
      <c r="D13" s="304" t="s">
        <v>260</v>
      </c>
      <c r="E13" s="34"/>
      <c r="F13" s="34"/>
      <c r="G13" s="324"/>
      <c r="I13" s="10"/>
      <c r="J13" s="10"/>
    </row>
    <row r="14" spans="2:10" ht="14.1" customHeight="1">
      <c r="B14" s="323"/>
      <c r="C14" s="34"/>
      <c r="D14" s="279"/>
      <c r="E14" s="34"/>
      <c r="F14" s="34"/>
      <c r="G14" s="280"/>
      <c r="I14" s="10"/>
      <c r="J14" s="10"/>
    </row>
    <row r="15" spans="2:10" ht="24.95" customHeight="1">
      <c r="B15" s="323"/>
      <c r="C15" s="34"/>
      <c r="D15" s="48" t="s">
        <v>19</v>
      </c>
      <c r="E15" s="34"/>
      <c r="F15" s="51" cm="1">
        <f t="array" ref="F15">_xlfn.IFS(OR($J$4=1,$J$6=1),"Tarif maximal",$F$11=0,0,$F$11&gt;=0,$F$11)</f>
        <v>0</v>
      </c>
      <c r="G15" s="321" t="s">
        <v>234</v>
      </c>
      <c r="I15" s="10" t="s">
        <v>24</v>
      </c>
      <c r="J15" s="275">
        <f>IF(OR(J4=1, J6=1),12001,J11)</f>
        <v>3000</v>
      </c>
    </row>
    <row r="16" spans="2:10" s="7" customFormat="1" ht="18" customHeight="1">
      <c r="B16" s="323"/>
      <c r="C16" s="44"/>
      <c r="D16" s="44"/>
      <c r="E16" s="44"/>
      <c r="F16" s="44"/>
      <c r="G16" s="321"/>
      <c r="H16"/>
      <c r="I16" s="55"/>
      <c r="J16" s="56"/>
    </row>
    <row r="17" spans="2:10" s="7" customFormat="1" ht="18" customHeight="1">
      <c r="B17" s="323"/>
      <c r="C17" s="44"/>
      <c r="D17" s="44"/>
      <c r="E17" s="44"/>
      <c r="F17" s="44"/>
      <c r="G17" s="44"/>
      <c r="H17"/>
      <c r="I17" s="55"/>
      <c r="J17" s="55"/>
    </row>
    <row r="18" spans="2:10" s="7" customFormat="1" ht="18" customHeight="1">
      <c r="B18" s="323"/>
      <c r="C18" s="44"/>
      <c r="D18" s="44"/>
      <c r="E18" s="44"/>
      <c r="F18" s="44"/>
      <c r="G18" s="44"/>
      <c r="H18"/>
      <c r="I18" s="55"/>
      <c r="J18" s="55"/>
    </row>
    <row r="19" spans="2:10" ht="18" customHeight="1"/>
    <row r="20" spans="2:10">
      <c r="B20" s="323">
        <v>2</v>
      </c>
      <c r="C20" s="34"/>
      <c r="D20" s="34"/>
      <c r="E20" s="34"/>
      <c r="F20" s="34"/>
      <c r="G20" s="34"/>
    </row>
    <row r="21" spans="2:10" ht="32.1" customHeight="1">
      <c r="B21" s="323"/>
      <c r="C21" s="34"/>
      <c r="D21" s="45" t="s">
        <v>165</v>
      </c>
      <c r="E21" s="34"/>
      <c r="F21" s="52" t="str">
        <f>HYPERLINK("#Calculateur!B2", "Aller au calculateur")</f>
        <v>Aller au calculateur</v>
      </c>
      <c r="G21" s="47"/>
    </row>
    <row r="22" spans="2:10">
      <c r="B22" s="323"/>
      <c r="C22" s="34"/>
      <c r="D22" s="34"/>
      <c r="E22" s="34"/>
      <c r="F22" s="34"/>
      <c r="G22" s="34"/>
    </row>
    <row r="24" spans="2:10" ht="36" customHeight="1">
      <c r="B24" s="323">
        <v>3</v>
      </c>
      <c r="C24" s="34"/>
      <c r="D24" s="322" t="s">
        <v>20</v>
      </c>
      <c r="E24" s="322"/>
      <c r="F24" s="322"/>
      <c r="G24" s="34"/>
    </row>
    <row r="25" spans="2:10">
      <c r="B25" s="323"/>
      <c r="C25" s="34"/>
      <c r="D25" s="34"/>
      <c r="E25" s="34"/>
      <c r="F25" s="34"/>
      <c r="G25" s="34"/>
    </row>
    <row r="26" spans="2:10" ht="18.75">
      <c r="B26" s="323"/>
      <c r="C26" s="34"/>
      <c r="D26" s="36" t="s">
        <v>211</v>
      </c>
      <c r="E26" s="37"/>
      <c r="F26" s="319" t="str">
        <f>IF(AND($J$6=0,$J$4=0,$F$11=0), "ATTENTION : Case revenu vide", F15)</f>
        <v>ATTENTION : Case revenu vide</v>
      </c>
      <c r="G26" s="34"/>
    </row>
    <row r="27" spans="2:10" ht="18.75">
      <c r="B27" s="323"/>
      <c r="C27" s="34"/>
      <c r="D27" s="36"/>
      <c r="E27" s="37"/>
      <c r="F27" s="37"/>
      <c r="G27" s="34"/>
    </row>
    <row r="28" spans="2:10" ht="18.75">
      <c r="B28" s="323"/>
      <c r="C28" s="34"/>
      <c r="D28" s="36" t="s">
        <v>164</v>
      </c>
      <c r="E28" s="37"/>
      <c r="F28" s="38"/>
      <c r="G28" s="34"/>
    </row>
    <row r="29" spans="2:10" ht="18.75">
      <c r="B29" s="323"/>
      <c r="C29" s="34"/>
      <c r="D29" s="39" t="s">
        <v>6</v>
      </c>
      <c r="E29" s="37"/>
      <c r="F29" s="40">
        <f>Calculateur!$K$14</f>
        <v>0</v>
      </c>
      <c r="G29" s="34"/>
    </row>
    <row r="30" spans="2:10" ht="18.75">
      <c r="B30" s="323"/>
      <c r="C30" s="34"/>
      <c r="D30" s="39" t="s">
        <v>66</v>
      </c>
      <c r="E30" s="37"/>
      <c r="F30" s="40">
        <f>Calculateur!$K$49</f>
        <v>0</v>
      </c>
      <c r="G30" s="34"/>
    </row>
    <row r="31" spans="2:10" ht="18.75">
      <c r="B31" s="323"/>
      <c r="C31" s="34"/>
      <c r="D31" s="39" t="s">
        <v>67</v>
      </c>
      <c r="E31" s="37"/>
      <c r="F31" s="40">
        <f>Calculateur!$K$65</f>
        <v>0</v>
      </c>
      <c r="G31" s="34"/>
    </row>
    <row r="32" spans="2:10" ht="18.75">
      <c r="B32" s="323"/>
      <c r="C32" s="34"/>
      <c r="D32" s="39" t="s">
        <v>132</v>
      </c>
      <c r="E32" s="37"/>
      <c r="F32" s="40">
        <f>Calculateur!$K$98</f>
        <v>0</v>
      </c>
      <c r="G32" s="34"/>
    </row>
    <row r="33" spans="2:7" ht="18.75">
      <c r="B33" s="323"/>
      <c r="C33" s="34"/>
      <c r="D33" s="36" t="s">
        <v>33</v>
      </c>
      <c r="E33" s="36"/>
      <c r="F33" s="42">
        <f>SUM(F29:F32)</f>
        <v>0</v>
      </c>
      <c r="G33" s="34"/>
    </row>
    <row r="34" spans="2:7" ht="23.1" customHeight="1">
      <c r="B34" s="323"/>
      <c r="C34" s="34"/>
      <c r="D34" s="36"/>
      <c r="E34" s="36"/>
      <c r="F34" s="42"/>
      <c r="G34" s="34"/>
    </row>
    <row r="35" spans="2:7" ht="37.5">
      <c r="B35" s="323"/>
      <c r="C35" s="34"/>
      <c r="D35" s="282" t="s">
        <v>245</v>
      </c>
      <c r="E35" s="43">
        <v>0.2</v>
      </c>
      <c r="F35" s="40">
        <f>IF(Calculateur!$S$3&gt;=2,MROUND(F33*E35,0.05),0)</f>
        <v>0</v>
      </c>
      <c r="G35" s="34"/>
    </row>
    <row r="36" spans="2:7" ht="19.5" thickBot="1">
      <c r="B36" s="323"/>
      <c r="C36" s="34"/>
      <c r="D36" s="34"/>
      <c r="E36" s="36"/>
      <c r="F36" s="36"/>
      <c r="G36" s="34"/>
    </row>
    <row r="37" spans="2:7" ht="30" customHeight="1" thickBot="1">
      <c r="B37" s="323"/>
      <c r="C37" s="34"/>
      <c r="D37" s="36" t="s">
        <v>58</v>
      </c>
      <c r="E37" s="34"/>
      <c r="F37" s="53" t="str">
        <f>IF($F$26="ATTENTION : Case revenu vide","Revenu non rempli", F33-F35)</f>
        <v>Revenu non rempli</v>
      </c>
      <c r="G37" s="57" t="s">
        <v>69</v>
      </c>
    </row>
    <row r="38" spans="2:7" ht="30" customHeight="1">
      <c r="B38" s="323"/>
      <c r="C38" s="34"/>
      <c r="D38" s="36"/>
      <c r="E38" s="34"/>
      <c r="F38" s="34"/>
      <c r="G38" s="57"/>
    </row>
    <row r="39" spans="2:7" ht="30" customHeight="1">
      <c r="B39" s="323"/>
      <c r="C39" s="34"/>
      <c r="D39" s="288" t="s">
        <v>142</v>
      </c>
      <c r="E39" s="34"/>
      <c r="F39" s="40">
        <f>Calculateur!$K$115</f>
        <v>0</v>
      </c>
      <c r="G39" s="295" t="s">
        <v>247</v>
      </c>
    </row>
    <row r="40" spans="2:7" ht="30" customHeight="1">
      <c r="B40" s="323"/>
      <c r="C40" s="34"/>
      <c r="D40" s="36"/>
      <c r="E40" s="34"/>
      <c r="F40" s="34"/>
      <c r="G40" s="294"/>
    </row>
    <row r="41" spans="2:7">
      <c r="B41" s="323"/>
      <c r="C41" s="34"/>
      <c r="D41" s="34"/>
      <c r="E41" s="34"/>
      <c r="F41" s="34"/>
      <c r="G41" s="34"/>
    </row>
  </sheetData>
  <sheetProtection sheet="1" objects="1" scenarios="1"/>
  <mergeCells count="6">
    <mergeCell ref="G15:G16"/>
    <mergeCell ref="D24:F24"/>
    <mergeCell ref="B24:B41"/>
    <mergeCell ref="B20:B22"/>
    <mergeCell ref="B2:B18"/>
    <mergeCell ref="G11:G13"/>
  </mergeCells>
  <hyperlinks>
    <hyperlink ref="D13" r:id="rId1" xr:uid="{AD239791-6FEF-AF49-A557-53189E8B78B6}"/>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2061" r:id="rId4" name="Option Button 13">
              <controlPr locked="0" defaultSize="0" autoFill="0" autoLine="0" autoPict="0" altText="Exempté d’impôts">
                <anchor moveWithCells="1">
                  <from>
                    <xdr:col>5</xdr:col>
                    <xdr:colOff>200025</xdr:colOff>
                    <xdr:row>5</xdr:row>
                    <xdr:rowOff>304800</xdr:rowOff>
                  </from>
                  <to>
                    <xdr:col>5</xdr:col>
                    <xdr:colOff>1724025</xdr:colOff>
                    <xdr:row>7</xdr:row>
                    <xdr:rowOff>76200</xdr:rowOff>
                  </to>
                </anchor>
              </controlPr>
            </control>
          </mc:Choice>
        </mc:AlternateContent>
        <mc:AlternateContent xmlns:mc="http://schemas.openxmlformats.org/markup-compatibility/2006">
          <mc:Choice Requires="x14">
            <control shapeId="2062" r:id="rId5" name="Option Button 14">
              <controlPr locked="0" defaultSize="0" autoFill="0" autoLine="0" autoPict="0">
                <anchor moveWithCells="1">
                  <from>
                    <xdr:col>5</xdr:col>
                    <xdr:colOff>200025</xdr:colOff>
                    <xdr:row>4</xdr:row>
                    <xdr:rowOff>238125</xdr:rowOff>
                  </from>
                  <to>
                    <xdr:col>5</xdr:col>
                    <xdr:colOff>1724025</xdr:colOff>
                    <xdr:row>6</xdr:row>
                    <xdr:rowOff>47625</xdr:rowOff>
                  </to>
                </anchor>
              </controlPr>
            </control>
          </mc:Choice>
        </mc:AlternateContent>
        <mc:AlternateContent xmlns:mc="http://schemas.openxmlformats.org/markup-compatibility/2006">
          <mc:Choice Requires="x14">
            <control shapeId="2063" r:id="rId6" name="Option Button 15">
              <controlPr locked="0" defaultSize="0" autoFill="0" autoLine="0" autoPict="0">
                <anchor moveWithCells="1">
                  <from>
                    <xdr:col>5</xdr:col>
                    <xdr:colOff>200025</xdr:colOff>
                    <xdr:row>7</xdr:row>
                    <xdr:rowOff>9525</xdr:rowOff>
                  </from>
                  <to>
                    <xdr:col>5</xdr:col>
                    <xdr:colOff>1724025</xdr:colOff>
                    <xdr:row>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1C710EF-2B4C-2E4D-95F6-6C8FD15F9349}">
          <x14:formula1>
            <xm:f>Data!$I$4:$I$5</xm:f>
          </x14:formula1>
          <xm:sqref>F4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7EB1F-C7D3-1048-9EC5-B0572841170D}">
  <sheetPr codeName="Sheet5"/>
  <dimension ref="B2:U116"/>
  <sheetViews>
    <sheetView showGridLines="0" zoomScale="80" zoomScaleNormal="80" workbookViewId="0">
      <selection activeCell="B2" sqref="B2:L2"/>
    </sheetView>
  </sheetViews>
  <sheetFormatPr baseColWidth="10" defaultRowHeight="15.75" outlineLevelCol="1"/>
  <cols>
    <col min="1" max="1" width="4.5" customWidth="1"/>
    <col min="2" max="2" width="5.875" customWidth="1"/>
    <col min="3" max="3" width="3.5" customWidth="1"/>
    <col min="4" max="4" width="43" customWidth="1"/>
    <col min="5" max="5" width="3.5" customWidth="1"/>
    <col min="6" max="6" width="23.625" customWidth="1"/>
    <col min="7" max="7" width="27.125" customWidth="1"/>
    <col min="8" max="11" width="27" customWidth="1"/>
    <col min="12" max="12" width="12.375" customWidth="1"/>
    <col min="13" max="19" width="15.875" hidden="1" customWidth="1" outlineLevel="1"/>
    <col min="20" max="20" width="14.125" bestFit="1" customWidth="1" collapsed="1"/>
  </cols>
  <sheetData>
    <row r="2" spans="2:21" ht="50.1" customHeight="1" thickBot="1">
      <c r="B2" s="328" t="s">
        <v>61</v>
      </c>
      <c r="C2" s="328"/>
      <c r="D2" s="328"/>
      <c r="E2" s="328"/>
      <c r="F2" s="328"/>
      <c r="G2" s="328"/>
      <c r="H2" s="328"/>
      <c r="I2" s="328"/>
      <c r="J2" s="328"/>
      <c r="K2" s="328"/>
      <c r="L2" s="328"/>
      <c r="M2" s="2"/>
      <c r="N2" s="2"/>
      <c r="O2" s="2"/>
      <c r="P2" s="2"/>
      <c r="Q2" s="2"/>
      <c r="R2" s="2"/>
      <c r="S2" s="2"/>
    </row>
    <row r="3" spans="2:21" ht="23.1" customHeight="1" thickBot="1">
      <c r="M3" s="158" t="s">
        <v>2</v>
      </c>
      <c r="N3" s="159">
        <f>Résumé!$J$15</f>
        <v>3000</v>
      </c>
      <c r="O3" s="11"/>
      <c r="P3" s="11"/>
      <c r="Q3" s="11"/>
      <c r="R3" s="11" t="s">
        <v>163</v>
      </c>
      <c r="S3" s="260">
        <f>SUM(G4:J4,G18:J18,G53:J53,G69:J69)</f>
        <v>0</v>
      </c>
    </row>
    <row r="4" spans="2:21" ht="29.1" customHeight="1" thickBot="1">
      <c r="B4" s="326" t="s">
        <v>25</v>
      </c>
      <c r="C4" s="34"/>
      <c r="D4" s="58"/>
      <c r="E4" s="37"/>
      <c r="F4" s="37"/>
      <c r="G4" s="291">
        <f>IF(G$14&lt;&gt;0,1,0)</f>
        <v>0</v>
      </c>
      <c r="H4" s="291">
        <f t="shared" ref="H4:J4" si="0">IF(H$14&lt;&gt;0,1,0)</f>
        <v>0</v>
      </c>
      <c r="I4" s="291">
        <f t="shared" si="0"/>
        <v>0</v>
      </c>
      <c r="J4" s="291">
        <f t="shared" si="0"/>
        <v>0</v>
      </c>
      <c r="K4" s="37"/>
      <c r="L4" s="34"/>
      <c r="M4" s="2"/>
      <c r="N4" s="8"/>
      <c r="O4" s="8"/>
      <c r="P4" s="8"/>
      <c r="Q4" s="8"/>
      <c r="R4" s="8"/>
      <c r="S4" s="8"/>
    </row>
    <row r="5" spans="2:21" s="6" customFormat="1" ht="18.95" customHeight="1" thickBot="1">
      <c r="B5" s="326"/>
      <c r="C5" s="37"/>
      <c r="D5" s="34"/>
      <c r="E5" s="34"/>
      <c r="F5" s="34"/>
      <c r="G5" s="59" t="s">
        <v>39</v>
      </c>
      <c r="H5" s="59" t="s">
        <v>40</v>
      </c>
      <c r="I5" s="59" t="s">
        <v>41</v>
      </c>
      <c r="J5" s="59" t="s">
        <v>42</v>
      </c>
      <c r="K5" s="59" t="s">
        <v>0</v>
      </c>
      <c r="L5" s="34"/>
      <c r="M5" s="5"/>
      <c r="N5" s="236">
        <f>VLOOKUP($N$3,'Tarif Crèche'!$D:$N,7,FALSE)</f>
        <v>39.450000000000003</v>
      </c>
      <c r="O5" s="237">
        <f>VLOOKUP($N$3,'Tarif Crèche'!$D:$N,9,FALSE)</f>
        <v>58.1</v>
      </c>
      <c r="P5" s="237">
        <f>VLOOKUP($N$3,'Tarif Crèche'!$D:$N,11,FALSE)</f>
        <v>37.35</v>
      </c>
      <c r="Q5" s="238">
        <f>VLOOKUP($N$3,'Tarif Crèche'!$D:$N,5,FALSE)</f>
        <v>93.350000000000009</v>
      </c>
      <c r="R5" s="2"/>
      <c r="S5" s="2"/>
      <c r="U5"/>
    </row>
    <row r="6" spans="2:21" ht="15.95" customHeight="1">
      <c r="B6" s="326"/>
      <c r="C6" s="34"/>
      <c r="D6" s="36" t="s">
        <v>1</v>
      </c>
      <c r="E6" s="34"/>
      <c r="F6" s="34"/>
      <c r="G6" s="34"/>
      <c r="H6" s="34"/>
      <c r="I6" s="34"/>
      <c r="J6" s="34"/>
      <c r="K6" s="34"/>
      <c r="L6" s="34"/>
      <c r="M6" s="2"/>
      <c r="N6" s="160" t="s">
        <v>96</v>
      </c>
      <c r="O6" s="160" t="s">
        <v>95</v>
      </c>
      <c r="P6" s="160" t="s">
        <v>7</v>
      </c>
      <c r="Q6" s="160" t="s">
        <v>5</v>
      </c>
      <c r="R6" s="2"/>
      <c r="S6" s="2"/>
    </row>
    <row r="7" spans="2:21" ht="23.1" customHeight="1">
      <c r="B7" s="326"/>
      <c r="C7" s="34"/>
      <c r="D7" s="244" t="s">
        <v>6</v>
      </c>
      <c r="E7" s="34"/>
      <c r="F7" s="60" t="s">
        <v>9</v>
      </c>
      <c r="G7" s="17"/>
      <c r="H7" s="17"/>
      <c r="I7" s="17"/>
      <c r="J7" s="17"/>
      <c r="K7" s="67">
        <f>SUM(N7:Q7)</f>
        <v>0</v>
      </c>
      <c r="L7" s="34"/>
      <c r="M7" s="4" t="s">
        <v>27</v>
      </c>
      <c r="N7" s="2" cm="1">
        <f t="array" ref="N7">_xlfn.IFS(G7=$N$6,$N$5, G7=$O$6,$O$5,G7=$P$6,$P$5,G7=$Q$6,$Q$5,G7="",0)</f>
        <v>0</v>
      </c>
      <c r="O7" s="2" cm="1">
        <f t="array" ref="O7">_xlfn.IFS(H7=$N$6,$N$5, H7=$O$6,$O$5,H7=$P$6,$P$5,H7=$Q$6,$Q$5,H7="",0)</f>
        <v>0</v>
      </c>
      <c r="P7" s="2" cm="1">
        <f t="array" ref="P7">_xlfn.IFS(I7=$N$6,$N$5, I7=$O$6,$O$5,I7=$P$6,$P$5,I7=$Q$6,$Q$5,I7="",0)</f>
        <v>0</v>
      </c>
      <c r="Q7" s="2" cm="1">
        <f t="array" ref="Q7">_xlfn.IFS(J7=$N$6,$N$5, J7=$O$6,$O$5,J7=$P$6,$P$5,J7=$Q$6,$Q$5,J7="",0)</f>
        <v>0</v>
      </c>
      <c r="R7" s="2"/>
      <c r="S7" s="2"/>
    </row>
    <row r="8" spans="2:21" ht="23.1" customHeight="1">
      <c r="B8" s="326"/>
      <c r="C8" s="34"/>
      <c r="D8" s="34"/>
      <c r="E8" s="34"/>
      <c r="F8" s="60" t="s">
        <v>10</v>
      </c>
      <c r="G8" s="17"/>
      <c r="H8" s="17"/>
      <c r="I8" s="17"/>
      <c r="J8" s="17"/>
      <c r="K8" s="67">
        <f>SUM(N8:Q8)</f>
        <v>0</v>
      </c>
      <c r="L8" s="34"/>
      <c r="M8" s="4" t="s">
        <v>28</v>
      </c>
      <c r="N8" s="2" cm="1">
        <f t="array" ref="N8">_xlfn.IFS(G8=$N$6,$N$5, G8=$O$6,$O$5,G8=$P$6,$P$5,G8=$Q$6,$Q$5,G8="",0)</f>
        <v>0</v>
      </c>
      <c r="O8" s="2" cm="1">
        <f t="array" ref="O8">_xlfn.IFS(H8=$N$6,$N$5, H8=$O$6,$O$5,H8=$P$6,$P$5,H8=$Q$6,$Q$5,H8="",0)</f>
        <v>0</v>
      </c>
      <c r="P8" s="2" cm="1">
        <f t="array" ref="P8">_xlfn.IFS(I8=$N$6,$N$5, I8=$O$6,$O$5,I8=$P$6,$P$5,I8=$Q$6,$Q$5,I8="",0)</f>
        <v>0</v>
      </c>
      <c r="Q8" s="2" cm="1">
        <f t="array" ref="Q8">_xlfn.IFS(J8=$N$6,$N$5, J8=$O$6,$O$5,J8=$P$6,$P$5,J8=$Q$6,$Q$5,J8="",0)</f>
        <v>0</v>
      </c>
      <c r="R8" s="2"/>
      <c r="S8" s="2"/>
    </row>
    <row r="9" spans="2:21" ht="23.1" customHeight="1">
      <c r="B9" s="326"/>
      <c r="C9" s="34"/>
      <c r="D9" s="305" t="s">
        <v>248</v>
      </c>
      <c r="E9" s="34"/>
      <c r="F9" s="60" t="s">
        <v>16</v>
      </c>
      <c r="G9" s="17"/>
      <c r="H9" s="17"/>
      <c r="I9" s="17"/>
      <c r="J9" s="17"/>
      <c r="K9" s="67">
        <f>SUM(N9:Q9)</f>
        <v>0</v>
      </c>
      <c r="L9" s="34"/>
      <c r="M9" s="4" t="s">
        <v>26</v>
      </c>
      <c r="N9" s="2" cm="1">
        <f t="array" ref="N9">_xlfn.IFS(G9=$N$6,$N$5, G9=$O$6,$O$5,G9=$P$6,$P$5,G9=$Q$6,$Q$5,G9="",0)</f>
        <v>0</v>
      </c>
      <c r="O9" s="2" cm="1">
        <f t="array" ref="O9">_xlfn.IFS(H9=$N$6,$N$5, H9=$O$6,$O$5,H9=$P$6,$P$5,H9=$Q$6,$Q$5,H9="",0)</f>
        <v>0</v>
      </c>
      <c r="P9" s="2" cm="1">
        <f t="array" ref="P9">_xlfn.IFS(I9=$N$6,$N$5, I9=$O$6,$O$5,I9=$P$6,$P$5,I9=$Q$6,$Q$5,I9="",0)</f>
        <v>0</v>
      </c>
      <c r="Q9" s="2" cm="1">
        <f t="array" ref="Q9">_xlfn.IFS(J9=$N$6,$N$5, J9=$O$6,$O$5,J9=$P$6,$P$5,J9=$Q$6,$Q$5,J9="",0)</f>
        <v>0</v>
      </c>
      <c r="R9" s="2"/>
      <c r="S9" s="2"/>
    </row>
    <row r="10" spans="2:21" ht="23.1" customHeight="1">
      <c r="B10" s="326"/>
      <c r="C10" s="34"/>
      <c r="D10" s="34"/>
      <c r="E10" s="34"/>
      <c r="F10" s="60" t="s">
        <v>11</v>
      </c>
      <c r="G10" s="17"/>
      <c r="H10" s="17"/>
      <c r="I10" s="17"/>
      <c r="J10" s="17"/>
      <c r="K10" s="67">
        <f>SUM(N10:Q10)</f>
        <v>0</v>
      </c>
      <c r="L10" s="34"/>
      <c r="M10" s="4" t="s">
        <v>29</v>
      </c>
      <c r="N10" s="2" cm="1">
        <f t="array" ref="N10">_xlfn.IFS(G10=$N$6,$N$5, G10=$O$6,$O$5,G10=$P$6,$P$5,G10=$Q$6,$Q$5,G10="",0)</f>
        <v>0</v>
      </c>
      <c r="O10" s="2" cm="1">
        <f t="array" ref="O10">_xlfn.IFS(H10=$N$6,$N$5, H10=$O$6,$O$5,H10=$P$6,$P$5,H10=$Q$6,$Q$5,H10="",0)</f>
        <v>0</v>
      </c>
      <c r="P10" s="2" cm="1">
        <f t="array" ref="P10">_xlfn.IFS(I10=$N$6,$N$5, I10=$O$6,$O$5,I10=$P$6,$P$5,I10=$Q$6,$Q$5,I10="",0)</f>
        <v>0</v>
      </c>
      <c r="Q10" s="2" cm="1">
        <f t="array" ref="Q10">_xlfn.IFS(J10=$N$6,$N$5, J10=$O$6,$O$5,J10=$P$6,$P$5,J10=$Q$6,$Q$5,J10="",0)</f>
        <v>0</v>
      </c>
      <c r="R10" s="2"/>
      <c r="S10" s="2"/>
    </row>
    <row r="11" spans="2:21" ht="23.1" customHeight="1">
      <c r="B11" s="326"/>
      <c r="C11" s="34"/>
      <c r="D11" s="34"/>
      <c r="E11" s="34"/>
      <c r="F11" s="60" t="s">
        <v>12</v>
      </c>
      <c r="G11" s="17"/>
      <c r="H11" s="17"/>
      <c r="I11" s="17"/>
      <c r="J11" s="17"/>
      <c r="K11" s="67">
        <f>SUM(N11:Q11)</f>
        <v>0</v>
      </c>
      <c r="L11" s="34"/>
      <c r="M11" s="4" t="s">
        <v>30</v>
      </c>
      <c r="N11" s="2" cm="1">
        <f t="array" ref="N11">_xlfn.IFS(G11=$N$6,$N$5, G11=$O$6,$O$5,G11=$P$6,$P$5,G11=$Q$6,$Q$5,G11="",0)</f>
        <v>0</v>
      </c>
      <c r="O11" s="2" cm="1">
        <f t="array" ref="O11">_xlfn.IFS(H11=$N$6,$N$5, H11=$O$6,$O$5,H11=$P$6,$P$5,H11=$Q$6,$Q$5,H11="",0)</f>
        <v>0</v>
      </c>
      <c r="P11" s="2" cm="1">
        <f t="array" ref="P11">_xlfn.IFS(I11=$N$6,$N$5, I11=$O$6,$O$5,I11=$P$6,$P$5,I11=$Q$6,$Q$5,I11="",0)</f>
        <v>0</v>
      </c>
      <c r="Q11" s="2" cm="1">
        <f t="array" ref="Q11">_xlfn.IFS(J11=$N$6,$N$5, J11=$O$6,$O$5,J11=$P$6,$P$5,J11=$Q$6,$Q$5,J11="",0)</f>
        <v>0</v>
      </c>
      <c r="R11" s="2"/>
      <c r="S11" s="2"/>
    </row>
    <row r="12" spans="2:21" ht="12" customHeight="1">
      <c r="B12" s="326"/>
      <c r="C12" s="34"/>
      <c r="D12" s="34"/>
      <c r="E12" s="34"/>
      <c r="F12" s="41"/>
      <c r="G12" s="34"/>
      <c r="H12" s="34"/>
      <c r="I12" s="34"/>
      <c r="J12" s="34"/>
      <c r="K12" s="34"/>
      <c r="L12" s="34"/>
      <c r="M12" s="2"/>
      <c r="N12" s="2"/>
      <c r="O12" s="2"/>
      <c r="P12" s="2"/>
      <c r="Q12" s="2"/>
      <c r="R12" s="2"/>
      <c r="S12" s="2"/>
    </row>
    <row r="13" spans="2:21" ht="23.1" customHeight="1">
      <c r="B13" s="326"/>
      <c r="C13" s="34"/>
      <c r="D13" s="34"/>
      <c r="E13" s="34"/>
      <c r="F13" s="34"/>
      <c r="G13" s="64"/>
      <c r="H13" s="64"/>
      <c r="I13" s="64"/>
      <c r="J13" s="64"/>
      <c r="K13" s="64"/>
      <c r="L13" s="34"/>
      <c r="M13" s="2"/>
      <c r="N13" s="2"/>
      <c r="O13" s="2"/>
      <c r="P13" s="2"/>
      <c r="Q13" s="2"/>
      <c r="R13" s="2"/>
      <c r="S13" s="2"/>
    </row>
    <row r="14" spans="2:21" ht="24" customHeight="1">
      <c r="B14" s="326"/>
      <c r="C14" s="34"/>
      <c r="D14" s="48" t="s">
        <v>34</v>
      </c>
      <c r="E14" s="48"/>
      <c r="F14" s="48"/>
      <c r="G14" s="66">
        <f>SUM(N$7:N$11)</f>
        <v>0</v>
      </c>
      <c r="H14" s="66">
        <f>SUM(O$7:O$11)</f>
        <v>0</v>
      </c>
      <c r="I14" s="66">
        <f>SUM(P$7:P$11)</f>
        <v>0</v>
      </c>
      <c r="J14" s="66">
        <f>SUM(Q$7:Q$11)</f>
        <v>0</v>
      </c>
      <c r="K14" s="66">
        <f>SUM(G14:J14)</f>
        <v>0</v>
      </c>
      <c r="L14" s="34"/>
      <c r="M14" s="2"/>
      <c r="N14" s="2"/>
      <c r="O14" s="2"/>
      <c r="P14" s="2"/>
      <c r="Q14" s="2"/>
      <c r="R14" s="4"/>
      <c r="S14" s="4"/>
    </row>
    <row r="15" spans="2:21" ht="24" customHeight="1">
      <c r="B15" s="326"/>
      <c r="C15" s="34"/>
      <c r="D15" s="247" t="s">
        <v>157</v>
      </c>
      <c r="E15" s="48"/>
      <c r="F15" s="48"/>
      <c r="G15" s="65"/>
      <c r="H15" s="65"/>
      <c r="I15" s="65"/>
      <c r="J15" s="65"/>
      <c r="K15" s="65"/>
      <c r="L15" s="34"/>
      <c r="M15" s="2"/>
      <c r="N15" s="2"/>
      <c r="O15" s="2"/>
      <c r="P15" s="2"/>
      <c r="Q15" s="2"/>
      <c r="R15" s="4"/>
      <c r="S15" s="4"/>
    </row>
    <row r="16" spans="2:21">
      <c r="G16" s="161"/>
      <c r="H16" s="161"/>
      <c r="I16" s="161"/>
    </row>
    <row r="18" spans="2:19" ht="24" customHeight="1" thickBot="1">
      <c r="B18" s="327" t="s">
        <v>70</v>
      </c>
      <c r="C18" s="34"/>
      <c r="D18" s="58"/>
      <c r="E18" s="37"/>
      <c r="F18" s="37"/>
      <c r="G18" s="291">
        <f>IF(G49&lt;&gt;0,1,0)</f>
        <v>0</v>
      </c>
      <c r="H18" s="291">
        <f>IF(H49&lt;&gt;0,1,0)</f>
        <v>0</v>
      </c>
      <c r="I18" s="291">
        <f>IF(I49&lt;&gt;0,1,0)</f>
        <v>0</v>
      </c>
      <c r="J18" s="291">
        <f>IF(J49&lt;&gt;0,1,0)</f>
        <v>0</v>
      </c>
      <c r="K18" s="37"/>
      <c r="L18" s="34"/>
      <c r="M18" s="2"/>
      <c r="N18" s="8"/>
      <c r="O18" s="8"/>
      <c r="P18" s="8"/>
      <c r="Q18" s="8"/>
      <c r="R18" s="8"/>
      <c r="S18" s="8"/>
    </row>
    <row r="19" spans="2:19" ht="24" customHeight="1" thickBot="1">
      <c r="B19" s="327"/>
      <c r="C19" s="37"/>
      <c r="D19" s="34"/>
      <c r="E19" s="34"/>
      <c r="F19" s="34"/>
      <c r="G19" s="59" t="s">
        <v>43</v>
      </c>
      <c r="H19" s="59" t="s">
        <v>44</v>
      </c>
      <c r="I19" s="59" t="s">
        <v>45</v>
      </c>
      <c r="J19" s="59" t="s">
        <v>46</v>
      </c>
      <c r="K19" s="59" t="s">
        <v>0</v>
      </c>
      <c r="L19" s="34"/>
      <c r="M19" s="5" t="s">
        <v>154</v>
      </c>
      <c r="N19" s="248">
        <f>VLOOKUP($N$3,'Tarif UAPE'!$D:$T,5,FALSE)</f>
        <v>6.45</v>
      </c>
      <c r="O19" s="249">
        <f>VLOOKUP($N$3,'Tarif UAPE'!$D:$T,8,FALSE)</f>
        <v>20.400000000000002</v>
      </c>
      <c r="P19" s="249">
        <f>VLOOKUP($N$3,'Tarif UAPE'!$D:$T,11,FALSE)</f>
        <v>19.350000000000001</v>
      </c>
      <c r="Q19" s="249">
        <f>VLOOKUP($N$3,'Tarif UAPE'!$D:$T,14,FALSE)</f>
        <v>12.25</v>
      </c>
      <c r="R19" s="250">
        <f>VLOOKUP($N$3,'Tarif UAPE'!$D:$T,17,FALSE)</f>
        <v>22.200000000000003</v>
      </c>
      <c r="S19" s="2"/>
    </row>
    <row r="20" spans="2:19" ht="15" customHeight="1">
      <c r="B20" s="327"/>
      <c r="C20" s="34"/>
      <c r="D20" s="36" t="s">
        <v>1</v>
      </c>
      <c r="E20" s="34"/>
      <c r="F20" s="34"/>
      <c r="G20" s="34"/>
      <c r="H20" s="34"/>
      <c r="I20" s="34"/>
      <c r="J20" s="34"/>
      <c r="K20" s="37"/>
      <c r="L20" s="34"/>
      <c r="M20" s="3"/>
      <c r="N20" s="8" t="s">
        <v>3</v>
      </c>
      <c r="O20" s="8" t="s">
        <v>146</v>
      </c>
      <c r="P20" s="8" t="s">
        <v>52</v>
      </c>
      <c r="Q20" s="8" t="s">
        <v>4</v>
      </c>
      <c r="R20" s="8" t="s">
        <v>130</v>
      </c>
      <c r="S20" s="2"/>
    </row>
    <row r="21" spans="2:19" ht="24" customHeight="1">
      <c r="B21" s="327"/>
      <c r="C21" s="34"/>
      <c r="D21" s="86" t="s">
        <v>66</v>
      </c>
      <c r="E21" s="34"/>
      <c r="F21" s="69" t="s">
        <v>9</v>
      </c>
      <c r="G21" s="73">
        <f>SUM(N22:N25)</f>
        <v>0</v>
      </c>
      <c r="H21" s="73">
        <f>SUM(O22:O25)</f>
        <v>0</v>
      </c>
      <c r="I21" s="73">
        <f>SUM(P22:P25)</f>
        <v>0</v>
      </c>
      <c r="J21" s="73">
        <f>SUM(Q22:Q25)</f>
        <v>0</v>
      </c>
      <c r="K21" s="74">
        <f>SUM(G21:J21)</f>
        <v>0</v>
      </c>
      <c r="L21" s="34"/>
      <c r="M21" s="4" t="s">
        <v>27</v>
      </c>
      <c r="N21" s="12"/>
      <c r="O21" s="12"/>
      <c r="P21" s="12"/>
      <c r="Q21" s="12"/>
      <c r="R21" s="2"/>
      <c r="S21" s="2"/>
    </row>
    <row r="22" spans="2:19" ht="24" customHeight="1">
      <c r="B22" s="327"/>
      <c r="C22" s="34"/>
      <c r="D22" s="34"/>
      <c r="E22" s="34"/>
      <c r="F22" s="70" t="s">
        <v>3</v>
      </c>
      <c r="G22" s="17"/>
      <c r="H22" s="17"/>
      <c r="I22" s="17"/>
      <c r="J22" s="17"/>
      <c r="K22" s="75">
        <f>SUM(N22:Q22)</f>
        <v>0</v>
      </c>
      <c r="L22" s="34"/>
      <c r="M22" s="4"/>
      <c r="N22" s="12">
        <f>IF(ISBLANK(G22),0,$N$19)</f>
        <v>0</v>
      </c>
      <c r="O22" s="12">
        <f>IF(ISBLANK(H22),0,$N$19)</f>
        <v>0</v>
      </c>
      <c r="P22" s="12">
        <f>IF(ISBLANK(I22),0,$N$19)</f>
        <v>0</v>
      </c>
      <c r="Q22" s="12">
        <f t="shared" ref="Q22" si="1">IF(ISBLANK(J22),0,$N$19)</f>
        <v>0</v>
      </c>
      <c r="R22" s="12"/>
      <c r="S22" s="2"/>
    </row>
    <row r="23" spans="2:19" ht="24" customHeight="1">
      <c r="B23" s="327"/>
      <c r="C23" s="34"/>
      <c r="D23" s="299" t="s">
        <v>253</v>
      </c>
      <c r="E23" s="34"/>
      <c r="F23" s="70" t="s">
        <v>52</v>
      </c>
      <c r="G23" s="17"/>
      <c r="H23" s="17"/>
      <c r="I23" s="17"/>
      <c r="J23" s="17"/>
      <c r="K23" s="75">
        <f t="shared" ref="K23:K46" si="2">SUM(N23:Q23)</f>
        <v>0</v>
      </c>
      <c r="L23" s="34"/>
      <c r="M23" s="4"/>
      <c r="N23" s="12">
        <f>IF(ISBLANK(G23),0,$P$19)</f>
        <v>0</v>
      </c>
      <c r="O23" s="12">
        <f>IF(ISBLANK(H23),0,$P$19)</f>
        <v>0</v>
      </c>
      <c r="P23" s="12">
        <f>IF(ISBLANK(I23),0,$P$19)</f>
        <v>0</v>
      </c>
      <c r="Q23" s="12">
        <f t="shared" ref="Q23" si="3">IF(ISBLANK(J23),0,$P$19)</f>
        <v>0</v>
      </c>
      <c r="R23" s="2"/>
      <c r="S23" s="2"/>
    </row>
    <row r="24" spans="2:19" ht="24" customHeight="1">
      <c r="B24" s="327"/>
      <c r="C24" s="34"/>
      <c r="D24" s="76" t="s">
        <v>149</v>
      </c>
      <c r="E24" s="34"/>
      <c r="F24" s="70" t="s">
        <v>4</v>
      </c>
      <c r="G24" s="17"/>
      <c r="H24" s="17"/>
      <c r="I24" s="17"/>
      <c r="J24" s="17"/>
      <c r="K24" s="75">
        <f t="shared" si="2"/>
        <v>0</v>
      </c>
      <c r="L24" s="34"/>
      <c r="M24" s="4"/>
      <c r="N24" s="12">
        <f>IF(ISBLANK(G24),0,$Q$19)</f>
        <v>0</v>
      </c>
      <c r="O24" s="12">
        <f>IF(ISBLANK(H24),0,$Q$19)</f>
        <v>0</v>
      </c>
      <c r="P24" s="12">
        <f>IF(ISBLANK(I24),0,$Q$19)</f>
        <v>0</v>
      </c>
      <c r="Q24" s="12">
        <f t="shared" ref="Q24" si="4">IF(ISBLANK(J24),0,$Q$19)</f>
        <v>0</v>
      </c>
      <c r="R24" s="2"/>
      <c r="S24" s="2"/>
    </row>
    <row r="25" spans="2:19" ht="24" customHeight="1">
      <c r="B25" s="327"/>
      <c r="C25" s="34"/>
      <c r="D25" s="76" t="s">
        <v>151</v>
      </c>
      <c r="E25" s="34"/>
      <c r="F25" s="70" t="s">
        <v>130</v>
      </c>
      <c r="G25" s="17"/>
      <c r="H25" s="17"/>
      <c r="I25" s="17"/>
      <c r="J25" s="17"/>
      <c r="K25" s="75">
        <f t="shared" si="2"/>
        <v>0</v>
      </c>
      <c r="L25" s="34"/>
      <c r="M25" s="4"/>
      <c r="N25" s="12">
        <f>IF(ISBLANK(G25),0,$R$19)</f>
        <v>0</v>
      </c>
      <c r="O25" s="12">
        <f>IF(ISBLANK(H25),0,$R$19)</f>
        <v>0</v>
      </c>
      <c r="P25" s="12">
        <f>IF(ISBLANK(I25),0,$R$19)</f>
        <v>0</v>
      </c>
      <c r="Q25" s="12">
        <f t="shared" ref="Q25" si="5">IF(ISBLANK(J25),0,$R$19)</f>
        <v>0</v>
      </c>
      <c r="R25" s="2"/>
      <c r="S25" s="2"/>
    </row>
    <row r="26" spans="2:19" ht="24" customHeight="1">
      <c r="B26" s="327"/>
      <c r="C26" s="34"/>
      <c r="D26" s="76" t="s">
        <v>152</v>
      </c>
      <c r="E26" s="34"/>
      <c r="F26" s="69" t="s">
        <v>10</v>
      </c>
      <c r="G26" s="73">
        <f>SUM(N27:N30)</f>
        <v>0</v>
      </c>
      <c r="H26" s="73">
        <f t="shared" ref="H26" si="6">SUM(O27:O30)</f>
        <v>0</v>
      </c>
      <c r="I26" s="73">
        <f t="shared" ref="I26" si="7">SUM(P27:P30)</f>
        <v>0</v>
      </c>
      <c r="J26" s="73">
        <f t="shared" ref="J26" si="8">SUM(Q27:Q30)</f>
        <v>0</v>
      </c>
      <c r="K26" s="74">
        <f>SUM(G26:J26)</f>
        <v>0</v>
      </c>
      <c r="L26" s="34"/>
      <c r="M26" s="4" t="s">
        <v>28</v>
      </c>
      <c r="N26" s="12"/>
      <c r="O26" s="12"/>
      <c r="P26" s="12"/>
      <c r="Q26" s="12"/>
      <c r="R26" s="2"/>
      <c r="S26" s="2"/>
    </row>
    <row r="27" spans="2:19" ht="24" customHeight="1">
      <c r="B27" s="327"/>
      <c r="C27" s="34"/>
      <c r="D27" s="76" t="s">
        <v>153</v>
      </c>
      <c r="E27" s="34"/>
      <c r="F27" s="70" t="s">
        <v>3</v>
      </c>
      <c r="G27" s="17"/>
      <c r="H27" s="17"/>
      <c r="I27" s="17"/>
      <c r="J27" s="17"/>
      <c r="K27" s="75">
        <f t="shared" si="2"/>
        <v>0</v>
      </c>
      <c r="L27" s="34"/>
      <c r="M27" s="4"/>
      <c r="N27" s="12">
        <f>IF(ISBLANK(G27),0,$N$19)</f>
        <v>0</v>
      </c>
      <c r="O27" s="12">
        <f>IF(ISBLANK(H27),0,$N$19)</f>
        <v>0</v>
      </c>
      <c r="P27" s="12">
        <f>IF(ISBLANK(I27),0,$N$19)</f>
        <v>0</v>
      </c>
      <c r="Q27" s="12">
        <f>IF(ISBLANK(J27),0,$N$19)</f>
        <v>0</v>
      </c>
      <c r="R27" s="2"/>
      <c r="S27" s="2"/>
    </row>
    <row r="28" spans="2:19" ht="24" customHeight="1">
      <c r="B28" s="327"/>
      <c r="C28" s="34"/>
      <c r="D28" s="76"/>
      <c r="E28" s="34"/>
      <c r="F28" s="70" t="s">
        <v>52</v>
      </c>
      <c r="G28" s="17"/>
      <c r="H28" s="17"/>
      <c r="I28" s="17"/>
      <c r="J28" s="17"/>
      <c r="K28" s="75">
        <f t="shared" si="2"/>
        <v>0</v>
      </c>
      <c r="L28" s="34"/>
      <c r="M28" s="4"/>
      <c r="N28" s="12">
        <f>IF(ISBLANK(G28),0,$P$19)</f>
        <v>0</v>
      </c>
      <c r="O28" s="12">
        <f>IF(ISBLANK(H28),0,$P$19)</f>
        <v>0</v>
      </c>
      <c r="P28" s="12">
        <f>IF(ISBLANK(I28),0,$P$19)</f>
        <v>0</v>
      </c>
      <c r="Q28" s="12">
        <f>IF(ISBLANK(J28),0,$P$19)</f>
        <v>0</v>
      </c>
      <c r="R28" s="2"/>
      <c r="S28" s="2"/>
    </row>
    <row r="29" spans="2:19" ht="24" customHeight="1">
      <c r="B29" s="327"/>
      <c r="C29" s="34"/>
      <c r="D29" s="300" t="s">
        <v>254</v>
      </c>
      <c r="E29" s="34"/>
      <c r="F29" s="70" t="s">
        <v>4</v>
      </c>
      <c r="G29" s="17"/>
      <c r="H29" s="17"/>
      <c r="I29" s="17"/>
      <c r="J29" s="17"/>
      <c r="K29" s="75">
        <f t="shared" si="2"/>
        <v>0</v>
      </c>
      <c r="L29" s="34"/>
      <c r="M29" s="4"/>
      <c r="N29" s="12">
        <f>IF(ISBLANK(G29),0,$Q$19)</f>
        <v>0</v>
      </c>
      <c r="O29" s="12">
        <f>IF(ISBLANK(H29),0,$Q$19)</f>
        <v>0</v>
      </c>
      <c r="P29" s="12">
        <f>IF(ISBLANK(I29),0,$Q$19)</f>
        <v>0</v>
      </c>
      <c r="Q29" s="12">
        <f>IF(ISBLANK(J29),0,$Q$19)</f>
        <v>0</v>
      </c>
      <c r="R29" s="2"/>
      <c r="S29" s="2"/>
    </row>
    <row r="30" spans="2:19" ht="24" customHeight="1">
      <c r="B30" s="327"/>
      <c r="C30" s="34"/>
      <c r="D30" s="76" t="s">
        <v>150</v>
      </c>
      <c r="E30" s="34"/>
      <c r="F30" s="70" t="s">
        <v>130</v>
      </c>
      <c r="G30" s="17"/>
      <c r="H30" s="17"/>
      <c r="I30" s="17"/>
      <c r="J30" s="17"/>
      <c r="K30" s="75">
        <f t="shared" si="2"/>
        <v>0</v>
      </c>
      <c r="L30" s="34"/>
      <c r="M30" s="4"/>
      <c r="N30" s="12">
        <f>IF(ISBLANK(G30),0,$R$19)</f>
        <v>0</v>
      </c>
      <c r="O30" s="12">
        <f>IF(ISBLANK(H30),0,$R$19)</f>
        <v>0</v>
      </c>
      <c r="P30" s="12">
        <f>IF(ISBLANK(I30),0,$R$19)</f>
        <v>0</v>
      </c>
      <c r="Q30" s="12">
        <f>IF(ISBLANK(J30),0,$R$19)</f>
        <v>0</v>
      </c>
      <c r="R30" s="2"/>
      <c r="S30" s="2"/>
    </row>
    <row r="31" spans="2:19" ht="24" customHeight="1">
      <c r="B31" s="327"/>
      <c r="C31" s="34"/>
      <c r="D31" s="77"/>
      <c r="E31" s="34"/>
      <c r="F31" s="69" t="s">
        <v>16</v>
      </c>
      <c r="G31" s="73">
        <f>SUM(N32:N36)</f>
        <v>0</v>
      </c>
      <c r="H31" s="73">
        <f>SUM(O32:O36)</f>
        <v>0</v>
      </c>
      <c r="I31" s="73">
        <f>SUM(P32:P36)</f>
        <v>0</v>
      </c>
      <c r="J31" s="73">
        <f>SUM(Q32:Q36)</f>
        <v>0</v>
      </c>
      <c r="K31" s="74">
        <f>SUM(G31:J31)</f>
        <v>0</v>
      </c>
      <c r="L31" s="34"/>
      <c r="M31" s="4" t="s">
        <v>26</v>
      </c>
      <c r="N31" s="253"/>
      <c r="O31" s="253"/>
      <c r="P31" s="253"/>
      <c r="Q31" s="253"/>
      <c r="R31" s="2"/>
      <c r="S31" s="2"/>
    </row>
    <row r="32" spans="2:19" ht="24" customHeight="1">
      <c r="B32" s="327"/>
      <c r="C32" s="34"/>
      <c r="D32" s="306" t="s">
        <v>248</v>
      </c>
      <c r="E32" s="34"/>
      <c r="F32" s="70" t="s">
        <v>3</v>
      </c>
      <c r="G32" s="17"/>
      <c r="H32" s="17"/>
      <c r="I32" s="17"/>
      <c r="J32" s="17"/>
      <c r="K32" s="75">
        <f t="shared" si="2"/>
        <v>0</v>
      </c>
      <c r="L32" s="34"/>
      <c r="M32" s="4"/>
      <c r="N32" s="253">
        <f>IF(ISBLANK(G32),0,$N$19)</f>
        <v>0</v>
      </c>
      <c r="O32" s="253">
        <f>IF(ISBLANK(H32),0,$N$19)</f>
        <v>0</v>
      </c>
      <c r="P32" s="253">
        <f>IF(ISBLANK(I32),0,$N$19)</f>
        <v>0</v>
      </c>
      <c r="Q32" s="253">
        <f>IF(ISBLANK(J32),0,$N$19)</f>
        <v>0</v>
      </c>
      <c r="R32" s="2"/>
      <c r="S32" s="2"/>
    </row>
    <row r="33" spans="2:19" ht="24" customHeight="1">
      <c r="B33" s="327"/>
      <c r="C33" s="34"/>
      <c r="D33" s="78"/>
      <c r="E33" s="34"/>
      <c r="F33" s="70" t="s">
        <v>146</v>
      </c>
      <c r="G33" s="17"/>
      <c r="H33" s="17"/>
      <c r="I33" s="17"/>
      <c r="J33" s="17"/>
      <c r="K33" s="75">
        <f t="shared" si="2"/>
        <v>0</v>
      </c>
      <c r="L33" s="34"/>
      <c r="M33" s="4"/>
      <c r="N33" s="253">
        <f>IF(ISBLANK(G33),0,$O$19)</f>
        <v>0</v>
      </c>
      <c r="O33" s="253">
        <f>IF(ISBLANK(H33),0,$O$19)</f>
        <v>0</v>
      </c>
      <c r="P33" s="253">
        <f>IF(ISBLANK(I33),0,$O$19)</f>
        <v>0</v>
      </c>
      <c r="Q33" s="253">
        <f>IF(ISBLANK(J33),0,$O$19)</f>
        <v>0</v>
      </c>
      <c r="R33" s="2"/>
      <c r="S33" s="2"/>
    </row>
    <row r="34" spans="2:19" ht="24" customHeight="1">
      <c r="B34" s="327"/>
      <c r="C34" s="34"/>
      <c r="D34" s="79"/>
      <c r="E34" s="34"/>
      <c r="F34" s="70" t="s">
        <v>52</v>
      </c>
      <c r="G34" s="17"/>
      <c r="H34" s="17"/>
      <c r="I34" s="17"/>
      <c r="J34" s="17"/>
      <c r="K34" s="75">
        <f t="shared" si="2"/>
        <v>0</v>
      </c>
      <c r="L34" s="34"/>
      <c r="M34" s="4"/>
      <c r="N34" s="253">
        <f>IF(ISBLANK(G34),0,$P$19)</f>
        <v>0</v>
      </c>
      <c r="O34" s="253">
        <f>IF(ISBLANK(H34),0,$P$19)</f>
        <v>0</v>
      </c>
      <c r="P34" s="253">
        <f>IF(ISBLANK(I34),0,$P$19)</f>
        <v>0</v>
      </c>
      <c r="Q34" s="253">
        <f>IF(ISBLANK(J34),0,$P$19)</f>
        <v>0</v>
      </c>
      <c r="R34" s="2"/>
      <c r="S34" s="2"/>
    </row>
    <row r="35" spans="2:19" ht="24" customHeight="1">
      <c r="B35" s="327"/>
      <c r="C35" s="34"/>
      <c r="D35" s="34"/>
      <c r="E35" s="34"/>
      <c r="F35" s="70" t="s">
        <v>4</v>
      </c>
      <c r="G35" s="17"/>
      <c r="H35" s="17"/>
      <c r="I35" s="17"/>
      <c r="J35" s="17"/>
      <c r="K35" s="75">
        <f t="shared" si="2"/>
        <v>0</v>
      </c>
      <c r="L35" s="34"/>
      <c r="M35" s="4"/>
      <c r="N35" s="253">
        <f>IF(ISBLANK(G35),0,$Q$19)</f>
        <v>0</v>
      </c>
      <c r="O35" s="253">
        <f>IF(ISBLANK(H35),0,$Q$19)</f>
        <v>0</v>
      </c>
      <c r="P35" s="253">
        <f>IF(ISBLANK(I35),0,$Q$19)</f>
        <v>0</v>
      </c>
      <c r="Q35" s="253">
        <f>IF(ISBLANK(J35),0,$Q$19)</f>
        <v>0</v>
      </c>
      <c r="R35" s="2"/>
      <c r="S35" s="2"/>
    </row>
    <row r="36" spans="2:19" ht="24" customHeight="1">
      <c r="B36" s="327"/>
      <c r="C36" s="34"/>
      <c r="D36" s="34"/>
      <c r="E36" s="34"/>
      <c r="F36" s="70" t="s">
        <v>130</v>
      </c>
      <c r="G36" s="17"/>
      <c r="H36" s="17"/>
      <c r="I36" s="17"/>
      <c r="J36" s="17"/>
      <c r="K36" s="75">
        <f t="shared" si="2"/>
        <v>0</v>
      </c>
      <c r="L36" s="34"/>
      <c r="M36" s="4"/>
      <c r="N36" s="253">
        <f>IF(ISBLANK(G36),0,$R$19)</f>
        <v>0</v>
      </c>
      <c r="O36" s="253">
        <f>IF(ISBLANK(H36),0,$R$19)</f>
        <v>0</v>
      </c>
      <c r="P36" s="253">
        <f>IF(ISBLANK(I36),0,$R$19)</f>
        <v>0</v>
      </c>
      <c r="Q36" s="253">
        <f>IF(ISBLANK(J36),0,$R$19)</f>
        <v>0</v>
      </c>
      <c r="R36" s="2"/>
      <c r="S36" s="2"/>
    </row>
    <row r="37" spans="2:19" ht="24" customHeight="1">
      <c r="B37" s="327"/>
      <c r="C37" s="34"/>
      <c r="D37" s="34"/>
      <c r="E37" s="34"/>
      <c r="F37" s="69" t="s">
        <v>11</v>
      </c>
      <c r="G37" s="73">
        <f>SUM(N38:N41)</f>
        <v>0</v>
      </c>
      <c r="H37" s="73">
        <f t="shared" ref="H37" si="9">SUM(O38:O41)</f>
        <v>0</v>
      </c>
      <c r="I37" s="73">
        <f t="shared" ref="I37" si="10">SUM(P38:P41)</f>
        <v>0</v>
      </c>
      <c r="J37" s="73">
        <f t="shared" ref="J37" si="11">SUM(Q38:Q41)</f>
        <v>0</v>
      </c>
      <c r="K37" s="74">
        <f>SUM(G37:J37)</f>
        <v>0</v>
      </c>
      <c r="L37" s="34"/>
      <c r="M37" s="4" t="s">
        <v>29</v>
      </c>
      <c r="N37" s="12"/>
      <c r="O37" s="12"/>
      <c r="P37" s="12"/>
      <c r="Q37" s="12"/>
      <c r="R37" s="2"/>
      <c r="S37" s="2"/>
    </row>
    <row r="38" spans="2:19" ht="24" customHeight="1">
      <c r="B38" s="327"/>
      <c r="C38" s="34"/>
      <c r="D38" s="34"/>
      <c r="E38" s="34"/>
      <c r="F38" s="70" t="s">
        <v>3</v>
      </c>
      <c r="G38" s="17"/>
      <c r="H38" s="17"/>
      <c r="I38" s="17"/>
      <c r="J38" s="17"/>
      <c r="K38" s="75">
        <f t="shared" si="2"/>
        <v>0</v>
      </c>
      <c r="L38" s="34"/>
      <c r="M38" s="4"/>
      <c r="N38" s="12">
        <f>IF(ISBLANK(G38),0,$N$19)</f>
        <v>0</v>
      </c>
      <c r="O38" s="12">
        <f>IF(ISBLANK(H38),0,$N$19)</f>
        <v>0</v>
      </c>
      <c r="P38" s="12">
        <f>IF(ISBLANK(I38),0,$N$19)</f>
        <v>0</v>
      </c>
      <c r="Q38" s="12">
        <f>IF(ISBLANK(J38),0,$N$19)</f>
        <v>0</v>
      </c>
      <c r="R38" s="2"/>
      <c r="S38" s="2"/>
    </row>
    <row r="39" spans="2:19" ht="24" customHeight="1">
      <c r="B39" s="327"/>
      <c r="C39" s="34"/>
      <c r="D39" s="34"/>
      <c r="E39" s="34"/>
      <c r="F39" s="70" t="s">
        <v>52</v>
      </c>
      <c r="G39" s="17"/>
      <c r="H39" s="17"/>
      <c r="I39" s="17"/>
      <c r="J39" s="17"/>
      <c r="K39" s="75">
        <f t="shared" si="2"/>
        <v>0</v>
      </c>
      <c r="L39" s="34"/>
      <c r="M39" s="4"/>
      <c r="N39" s="12">
        <f>IF(ISBLANK(G39),0,$P$19)</f>
        <v>0</v>
      </c>
      <c r="O39" s="12">
        <f>IF(ISBLANK(H39),0,$P$19)</f>
        <v>0</v>
      </c>
      <c r="P39" s="12">
        <f>IF(ISBLANK(I39),0,$P$19)</f>
        <v>0</v>
      </c>
      <c r="Q39" s="12">
        <f>IF(ISBLANK(J39),0,$P$19)</f>
        <v>0</v>
      </c>
      <c r="R39" s="2"/>
      <c r="S39" s="2"/>
    </row>
    <row r="40" spans="2:19" ht="24" customHeight="1">
      <c r="B40" s="327"/>
      <c r="C40" s="34"/>
      <c r="D40" s="34"/>
      <c r="E40" s="34"/>
      <c r="F40" s="70" t="s">
        <v>4</v>
      </c>
      <c r="G40" s="17"/>
      <c r="H40" s="17"/>
      <c r="I40" s="17"/>
      <c r="J40" s="17"/>
      <c r="K40" s="75">
        <f t="shared" si="2"/>
        <v>0</v>
      </c>
      <c r="L40" s="34"/>
      <c r="M40" s="4"/>
      <c r="N40" s="12">
        <f>IF(ISBLANK(G40),0,$Q$19)</f>
        <v>0</v>
      </c>
      <c r="O40" s="12">
        <f>IF(ISBLANK(H40),0,$Q$19)</f>
        <v>0</v>
      </c>
      <c r="P40" s="12">
        <f>IF(ISBLANK(I40),0,$Q$19)</f>
        <v>0</v>
      </c>
      <c r="Q40" s="12">
        <f>IF(ISBLANK(J40),0,$Q$19)</f>
        <v>0</v>
      </c>
      <c r="R40" s="2"/>
      <c r="S40" s="2"/>
    </row>
    <row r="41" spans="2:19" ht="24" customHeight="1">
      <c r="B41" s="327"/>
      <c r="C41" s="34"/>
      <c r="D41" s="34"/>
      <c r="E41" s="34"/>
      <c r="F41" s="70" t="s">
        <v>130</v>
      </c>
      <c r="G41" s="17"/>
      <c r="H41" s="17"/>
      <c r="I41" s="17"/>
      <c r="J41" s="17"/>
      <c r="K41" s="75">
        <f t="shared" si="2"/>
        <v>0</v>
      </c>
      <c r="L41" s="34"/>
      <c r="M41" s="4"/>
      <c r="N41" s="12">
        <f>IF(ISBLANK(G41),0,$R$19)</f>
        <v>0</v>
      </c>
      <c r="O41" s="12">
        <f>IF(ISBLANK(H41),0,$R$19)</f>
        <v>0</v>
      </c>
      <c r="P41" s="12">
        <f>IF(ISBLANK(I41),0,$R$19)</f>
        <v>0</v>
      </c>
      <c r="Q41" s="12">
        <f>IF(ISBLANK(J41),0,$R$19)</f>
        <v>0</v>
      </c>
      <c r="R41" s="2"/>
      <c r="S41" s="2"/>
    </row>
    <row r="42" spans="2:19" ht="24" customHeight="1">
      <c r="B42" s="327"/>
      <c r="C42" s="34"/>
      <c r="D42" s="34"/>
      <c r="E42" s="34"/>
      <c r="F42" s="69" t="s">
        <v>12</v>
      </c>
      <c r="G42" s="73">
        <f>SUM(N43:N46)</f>
        <v>0</v>
      </c>
      <c r="H42" s="73">
        <f t="shared" ref="H42" si="12">SUM(O43:O46)</f>
        <v>0</v>
      </c>
      <c r="I42" s="73">
        <f t="shared" ref="I42" si="13">SUM(P43:P46)</f>
        <v>0</v>
      </c>
      <c r="J42" s="73">
        <f t="shared" ref="J42" si="14">SUM(Q43:Q46)</f>
        <v>0</v>
      </c>
      <c r="K42" s="74">
        <f>SUM(G42:J42)</f>
        <v>0</v>
      </c>
      <c r="L42" s="34"/>
      <c r="M42" s="4" t="s">
        <v>30</v>
      </c>
      <c r="N42" s="12"/>
      <c r="O42" s="12"/>
      <c r="P42" s="12"/>
      <c r="Q42" s="12"/>
      <c r="R42" s="2"/>
      <c r="S42" s="2"/>
    </row>
    <row r="43" spans="2:19" ht="24" customHeight="1">
      <c r="B43" s="327"/>
      <c r="C43" s="34"/>
      <c r="D43" s="34"/>
      <c r="E43" s="34"/>
      <c r="F43" s="70" t="s">
        <v>3</v>
      </c>
      <c r="G43" s="17"/>
      <c r="H43" s="17"/>
      <c r="I43" s="17"/>
      <c r="J43" s="17"/>
      <c r="K43" s="75">
        <f t="shared" si="2"/>
        <v>0</v>
      </c>
      <c r="L43" s="34"/>
      <c r="M43" s="4"/>
      <c r="N43" s="12">
        <f>IF(ISBLANK(G43),0,$N$19)</f>
        <v>0</v>
      </c>
      <c r="O43" s="12">
        <f>IF(ISBLANK(H43),0,$N$19)</f>
        <v>0</v>
      </c>
      <c r="P43" s="12">
        <f>IF(ISBLANK(I43),0,$N$19)</f>
        <v>0</v>
      </c>
      <c r="Q43" s="12">
        <f>IF(ISBLANK(J43),0,$N$19)</f>
        <v>0</v>
      </c>
      <c r="R43" s="2"/>
      <c r="S43" s="2"/>
    </row>
    <row r="44" spans="2:19" ht="24" customHeight="1">
      <c r="B44" s="327"/>
      <c r="C44" s="34"/>
      <c r="D44" s="34"/>
      <c r="E44" s="34"/>
      <c r="F44" s="70" t="s">
        <v>52</v>
      </c>
      <c r="G44" s="17"/>
      <c r="H44" s="17"/>
      <c r="I44" s="17"/>
      <c r="J44" s="17"/>
      <c r="K44" s="75">
        <f t="shared" si="2"/>
        <v>0</v>
      </c>
      <c r="L44" s="34"/>
      <c r="M44" s="4"/>
      <c r="N44" s="12">
        <f>IF(ISBLANK(G44),0,$P$19)</f>
        <v>0</v>
      </c>
      <c r="O44" s="12">
        <f>IF(ISBLANK(H44),0,$P$19)</f>
        <v>0</v>
      </c>
      <c r="P44" s="12">
        <f>IF(ISBLANK(I44),0,$P$19)</f>
        <v>0</v>
      </c>
      <c r="Q44" s="12">
        <f>IF(ISBLANK(J44),0,$P$19)</f>
        <v>0</v>
      </c>
      <c r="R44" s="2"/>
      <c r="S44" s="2"/>
    </row>
    <row r="45" spans="2:19" ht="24" customHeight="1">
      <c r="B45" s="327"/>
      <c r="C45" s="34"/>
      <c r="D45" s="34"/>
      <c r="E45" s="34"/>
      <c r="F45" s="70" t="s">
        <v>4</v>
      </c>
      <c r="G45" s="17"/>
      <c r="H45" s="17"/>
      <c r="I45" s="17"/>
      <c r="J45" s="17"/>
      <c r="K45" s="75">
        <f t="shared" si="2"/>
        <v>0</v>
      </c>
      <c r="L45" s="34"/>
      <c r="M45" s="4"/>
      <c r="N45" s="12">
        <f>IF(ISBLANK(G45),0,$Q$19)</f>
        <v>0</v>
      </c>
      <c r="O45" s="12">
        <f>IF(ISBLANK(H45),0,$Q$19)</f>
        <v>0</v>
      </c>
      <c r="P45" s="12">
        <f>IF(ISBLANK(I45),0,$Q$19)</f>
        <v>0</v>
      </c>
      <c r="Q45" s="12">
        <f>IF(ISBLANK(J45),0,$Q$19)</f>
        <v>0</v>
      </c>
      <c r="R45" s="2"/>
      <c r="S45" s="2"/>
    </row>
    <row r="46" spans="2:19" ht="24" customHeight="1">
      <c r="B46" s="327"/>
      <c r="C46" s="34"/>
      <c r="D46" s="34"/>
      <c r="E46" s="34"/>
      <c r="F46" s="70" t="s">
        <v>130</v>
      </c>
      <c r="G46" s="17"/>
      <c r="H46" s="17"/>
      <c r="I46" s="17"/>
      <c r="J46" s="17"/>
      <c r="K46" s="75">
        <f t="shared" si="2"/>
        <v>0</v>
      </c>
      <c r="L46" s="34"/>
      <c r="M46" s="4"/>
      <c r="N46" s="12">
        <f>IF(ISBLANK(G46),0,$R$19)</f>
        <v>0</v>
      </c>
      <c r="O46" s="12">
        <f>IF(ISBLANK(H46),0,$R$19)</f>
        <v>0</v>
      </c>
      <c r="P46" s="12">
        <f>IF(ISBLANK(I46),0,$R$19)</f>
        <v>0</v>
      </c>
      <c r="Q46" s="12">
        <f>IF(ISBLANK(J46),0,$R$19)</f>
        <v>0</v>
      </c>
      <c r="R46" s="2"/>
      <c r="S46" s="2"/>
    </row>
    <row r="47" spans="2:19" ht="12" customHeight="1">
      <c r="B47" s="327"/>
      <c r="C47" s="34"/>
      <c r="D47" s="34"/>
      <c r="E47" s="34"/>
      <c r="F47" s="41"/>
      <c r="G47" s="34"/>
      <c r="H47" s="34"/>
      <c r="I47" s="34"/>
      <c r="J47" s="34"/>
      <c r="K47" s="34"/>
      <c r="L47" s="34"/>
      <c r="M47" s="4"/>
      <c r="N47" s="2"/>
      <c r="O47" s="2"/>
      <c r="P47" s="2"/>
      <c r="Q47" s="2"/>
      <c r="R47" s="2"/>
      <c r="S47" s="2"/>
    </row>
    <row r="48" spans="2:19" ht="9.9499999999999993" customHeight="1" thickBot="1">
      <c r="B48" s="327"/>
      <c r="C48" s="34"/>
      <c r="D48" s="34"/>
      <c r="E48" s="34"/>
      <c r="F48" s="34"/>
      <c r="G48" s="64"/>
      <c r="H48" s="64"/>
      <c r="I48" s="64"/>
      <c r="J48" s="64"/>
      <c r="K48" s="64"/>
      <c r="L48" s="34"/>
      <c r="M48" s="4"/>
      <c r="N48" s="4"/>
      <c r="O48" s="4"/>
      <c r="P48" s="4"/>
      <c r="Q48" s="4"/>
      <c r="R48" s="4"/>
      <c r="S48" s="4"/>
    </row>
    <row r="49" spans="2:19" ht="24" customHeight="1" thickBot="1">
      <c r="B49" s="327"/>
      <c r="C49" s="34"/>
      <c r="D49" s="48" t="s">
        <v>34</v>
      </c>
      <c r="E49" s="48"/>
      <c r="F49" s="48"/>
      <c r="G49" s="80">
        <f>SUM(N21:N46)</f>
        <v>0</v>
      </c>
      <c r="H49" s="80">
        <f>SUM(O21:O46)</f>
        <v>0</v>
      </c>
      <c r="I49" s="80">
        <f>SUM(P21:P46)</f>
        <v>0</v>
      </c>
      <c r="J49" s="80">
        <f>SUM(Q21:Q46)</f>
        <v>0</v>
      </c>
      <c r="K49" s="80">
        <f>K21+K26+K31+K37+K42</f>
        <v>0</v>
      </c>
      <c r="L49" s="34"/>
      <c r="M49" s="4"/>
      <c r="N49" s="4"/>
      <c r="O49" s="4"/>
      <c r="P49" s="4"/>
      <c r="Q49" s="4"/>
      <c r="R49" s="4"/>
      <c r="S49" s="4"/>
    </row>
    <row r="50" spans="2:19" ht="24" customHeight="1">
      <c r="B50" s="327"/>
      <c r="C50" s="34"/>
      <c r="D50" s="247" t="s">
        <v>158</v>
      </c>
      <c r="E50" s="48"/>
      <c r="F50" s="48"/>
      <c r="G50" s="65"/>
      <c r="H50" s="65"/>
      <c r="I50" s="65"/>
      <c r="J50" s="65"/>
      <c r="K50" s="65"/>
      <c r="L50" s="34"/>
      <c r="M50" s="4"/>
      <c r="N50" s="4"/>
      <c r="O50" s="4"/>
      <c r="P50" s="4"/>
      <c r="Q50" s="4"/>
      <c r="R50" s="4"/>
      <c r="S50" s="4"/>
    </row>
    <row r="51" spans="2:19" ht="15.95" customHeight="1"/>
    <row r="52" spans="2:19" ht="15.95" customHeight="1"/>
    <row r="53" spans="2:19" ht="29.1" customHeight="1" thickBot="1">
      <c r="B53" s="329" t="s">
        <v>97</v>
      </c>
      <c r="C53" s="34"/>
      <c r="D53" s="58"/>
      <c r="E53" s="37"/>
      <c r="F53" s="37"/>
      <c r="G53" s="291">
        <f>IF(G65&lt;&gt;0,1,0)</f>
        <v>0</v>
      </c>
      <c r="H53" s="291">
        <f>IF(H65&lt;&gt;0,1,0)</f>
        <v>0</v>
      </c>
      <c r="I53" s="291">
        <f>IF(I65&lt;&gt;0,1,0)</f>
        <v>0</v>
      </c>
      <c r="J53" s="291">
        <f>IF(J65&lt;&gt;0,1,0)</f>
        <v>0</v>
      </c>
      <c r="K53" s="37"/>
      <c r="L53" s="34"/>
      <c r="M53" s="2"/>
      <c r="N53" s="27"/>
      <c r="O53" s="8"/>
      <c r="P53" s="27"/>
      <c r="Q53" s="8"/>
      <c r="R53" s="8"/>
      <c r="S53" s="8"/>
    </row>
    <row r="54" spans="2:19" s="6" customFormat="1" ht="18.95" customHeight="1" thickBot="1">
      <c r="B54" s="329"/>
      <c r="C54" s="37"/>
      <c r="D54" s="34"/>
      <c r="E54" s="34"/>
      <c r="F54" s="34"/>
      <c r="G54" s="34"/>
      <c r="H54" s="34"/>
      <c r="I54" s="34"/>
      <c r="J54" s="34"/>
      <c r="K54" s="34"/>
      <c r="L54" s="34"/>
      <c r="M54" s="5" t="s">
        <v>154</v>
      </c>
      <c r="N54" s="255">
        <f>VLOOKUP($N$3,'Tarif UAPE'!$D:$Z,20,FALSE)</f>
        <v>4.3</v>
      </c>
      <c r="O54" s="256">
        <f>VLOOKUP($N$3,'Tarif UAPE'!$D:$Z,23,FALSE)</f>
        <v>18.7</v>
      </c>
      <c r="P54" s="257">
        <f>O54+N54</f>
        <v>23</v>
      </c>
      <c r="Q54" s="2"/>
      <c r="R54" s="2"/>
      <c r="S54" s="2"/>
    </row>
    <row r="55" spans="2:19" ht="15.95" customHeight="1">
      <c r="B55" s="329"/>
      <c r="C55" s="34"/>
      <c r="D55" s="36" t="s">
        <v>1</v>
      </c>
      <c r="E55" s="34"/>
      <c r="F55" s="34"/>
      <c r="G55" s="34"/>
      <c r="H55" s="34"/>
      <c r="I55" s="34"/>
      <c r="J55" s="34"/>
      <c r="K55" s="34"/>
      <c r="L55" s="34"/>
      <c r="M55" s="2"/>
      <c r="N55" s="8" t="s">
        <v>131</v>
      </c>
      <c r="O55" s="8" t="s">
        <v>129</v>
      </c>
      <c r="P55" s="8" t="s">
        <v>160</v>
      </c>
      <c r="Q55" s="2"/>
      <c r="R55" s="2"/>
      <c r="S55" s="2"/>
    </row>
    <row r="56" spans="2:19" ht="23.1" customHeight="1">
      <c r="B56" s="329"/>
      <c r="C56" s="34"/>
      <c r="D56" s="87" t="s">
        <v>67</v>
      </c>
      <c r="E56" s="34"/>
      <c r="F56" s="34"/>
      <c r="G56" s="59" t="s">
        <v>47</v>
      </c>
      <c r="H56" s="59" t="s">
        <v>48</v>
      </c>
      <c r="I56" s="59" t="s">
        <v>49</v>
      </c>
      <c r="J56" s="59" t="s">
        <v>50</v>
      </c>
      <c r="K56" s="59" t="s">
        <v>0</v>
      </c>
      <c r="L56" s="34"/>
      <c r="M56" s="4"/>
      <c r="N56" s="4"/>
      <c r="O56" s="4"/>
      <c r="P56" s="4"/>
      <c r="Q56" s="4"/>
      <c r="R56" s="4"/>
      <c r="S56" s="2"/>
    </row>
    <row r="57" spans="2:19" ht="23.1" customHeight="1">
      <c r="B57" s="329"/>
      <c r="C57" s="34"/>
      <c r="D57" s="87"/>
      <c r="E57" s="34"/>
      <c r="F57" s="34"/>
      <c r="G57" s="34"/>
      <c r="H57" s="34"/>
      <c r="I57" s="34"/>
      <c r="J57" s="34"/>
      <c r="K57" s="34"/>
      <c r="L57" s="34"/>
      <c r="M57" s="4"/>
      <c r="N57" s="4"/>
      <c r="O57" s="4"/>
      <c r="P57" s="4"/>
      <c r="Q57" s="4"/>
      <c r="R57" s="4"/>
      <c r="S57" s="2"/>
    </row>
    <row r="58" spans="2:19" ht="23.1" customHeight="1">
      <c r="B58" s="329"/>
      <c r="C58" s="34"/>
      <c r="D58" s="298" t="s">
        <v>253</v>
      </c>
      <c r="E58" s="34"/>
      <c r="F58" s="60" t="s">
        <v>9</v>
      </c>
      <c r="G58" s="17"/>
      <c r="H58" s="17"/>
      <c r="I58" s="17"/>
      <c r="J58" s="17"/>
      <c r="K58" s="83">
        <f>SUM(N58:Q58)</f>
        <v>0</v>
      </c>
      <c r="L58" s="34"/>
      <c r="M58" s="4" t="s">
        <v>27</v>
      </c>
      <c r="N58" s="12" cm="1">
        <f t="array" ref="N58">_xlfn.IFS(G58=$N$55,$N$54,G58=$O$55,$O$54,G58=$P$55,$P$54,G58="",0)</f>
        <v>0</v>
      </c>
      <c r="O58" s="12" cm="1">
        <f t="array" ref="O58">_xlfn.IFS(H58=$N$55,$N$54,H58=$O$55,$O$54,H58=$P$55,$P$54,H58="",0)</f>
        <v>0</v>
      </c>
      <c r="P58" s="12" cm="1">
        <f t="array" ref="P58">_xlfn.IFS(I58=$N$55,$N$54,I58=$O$55,$O$54,I58=$P$55,$P$54,I58="",0)</f>
        <v>0</v>
      </c>
      <c r="Q58" s="12" cm="1">
        <f t="array" ref="Q58">_xlfn.IFS(J58=$N$55,$N$54,J58=$O$55,$O$54,J58=$P$55,$P$54,J58="",0)</f>
        <v>0</v>
      </c>
      <c r="R58" s="2"/>
      <c r="S58" s="2"/>
    </row>
    <row r="59" spans="2:19" ht="23.1" customHeight="1">
      <c r="B59" s="329"/>
      <c r="C59" s="34"/>
      <c r="D59" s="258" t="s">
        <v>161</v>
      </c>
      <c r="E59" s="34"/>
      <c r="F59" s="60" t="s">
        <v>10</v>
      </c>
      <c r="G59" s="17"/>
      <c r="H59" s="17"/>
      <c r="I59" s="17"/>
      <c r="J59" s="17"/>
      <c r="K59" s="83">
        <f t="shared" ref="K59:K62" si="15">SUM(N59:Q59)</f>
        <v>0</v>
      </c>
      <c r="L59" s="34"/>
      <c r="M59" s="4" t="s">
        <v>28</v>
      </c>
      <c r="N59" s="12" cm="1">
        <f t="array" ref="N59">_xlfn.IFS(G59=$N$55,$N$54,G59=$O$55,$O$54,G59=$P$55,$P$54,G59="",0)</f>
        <v>0</v>
      </c>
      <c r="O59" s="12" cm="1">
        <f t="array" ref="O59">_xlfn.IFS(H59=$N$55,$N$54,H59=$O$55,$O$54,H59=$P$55,$P$54,H59="",0)</f>
        <v>0</v>
      </c>
      <c r="P59" s="12" cm="1">
        <f t="array" ref="P59">_xlfn.IFS(I59=$N$55,$N$54,I59=$O$55,$O$54,I59=$P$55,$P$54,I59="",0)</f>
        <v>0</v>
      </c>
      <c r="Q59" s="12" cm="1">
        <f t="array" ref="Q59">_xlfn.IFS(J59=$N$55,$N$54,J59=$O$55,$O$54,J59=$P$55,$P$54,J59="",0)</f>
        <v>0</v>
      </c>
      <c r="R59" s="2"/>
      <c r="S59" s="2"/>
    </row>
    <row r="60" spans="2:19" ht="23.1" customHeight="1">
      <c r="B60" s="329"/>
      <c r="C60" s="34"/>
      <c r="D60" s="259" t="s">
        <v>264</v>
      </c>
      <c r="E60" s="34"/>
      <c r="F60" s="60" t="s">
        <v>16</v>
      </c>
      <c r="G60" s="317"/>
      <c r="H60" s="317"/>
      <c r="I60" s="317"/>
      <c r="J60" s="317"/>
      <c r="K60" s="318">
        <f t="shared" si="15"/>
        <v>0</v>
      </c>
      <c r="L60" s="34"/>
      <c r="M60" s="4" t="s">
        <v>26</v>
      </c>
      <c r="N60" s="12" cm="1">
        <f t="array" ref="N60">_xlfn.IFS(G60=$N$55,$N$54,G60=$O$55,$O$54,G60=$P$55,$P$54,G60="",0)</f>
        <v>0</v>
      </c>
      <c r="O60" s="12" cm="1">
        <f t="array" ref="O60">_xlfn.IFS(H60=$N$55,$N$54,H60=$O$55,$O$54,H60=$P$55,$P$54,H60="",0)</f>
        <v>0</v>
      </c>
      <c r="P60" s="12" cm="1">
        <f t="array" ref="P60">_xlfn.IFS(I60=$N$55,$N$54,I60=$O$55,$O$54,I60=$P$55,$P$54,I60="",0)</f>
        <v>0</v>
      </c>
      <c r="Q60" s="12" cm="1">
        <f t="array" ref="Q60">_xlfn.IFS(J60=$N$55,$N$54,J60=$O$55,$O$54,J60=$P$55,$P$54,J60="",0)</f>
        <v>0</v>
      </c>
      <c r="R60" s="2"/>
      <c r="S60" s="2"/>
    </row>
    <row r="61" spans="2:19" ht="23.1" customHeight="1">
      <c r="B61" s="329"/>
      <c r="C61" s="34"/>
      <c r="D61" s="81" t="s">
        <v>265</v>
      </c>
      <c r="E61" s="34"/>
      <c r="F61" s="60" t="s">
        <v>11</v>
      </c>
      <c r="G61" s="17"/>
      <c r="H61" s="17"/>
      <c r="I61" s="17"/>
      <c r="J61" s="17"/>
      <c r="K61" s="83">
        <f t="shared" si="15"/>
        <v>0</v>
      </c>
      <c r="L61" s="60"/>
      <c r="M61" s="4" t="s">
        <v>29</v>
      </c>
      <c r="N61" s="12" cm="1">
        <f t="array" ref="N61">_xlfn.IFS(G61=$N$55,$N$54,G61=$O$55,$O$54,G61=$P$55,$P$54,G61="",0)</f>
        <v>0</v>
      </c>
      <c r="O61" s="12" cm="1">
        <f t="array" ref="O61">_xlfn.IFS(H61=$N$55,$N$54,H61=$O$55,$O$54,H61=$P$55,$P$54,H61="",0)</f>
        <v>0</v>
      </c>
      <c r="P61" s="12" cm="1">
        <f t="array" ref="P61">_xlfn.IFS(I61=$N$55,$N$54,I61=$O$55,$O$54,I61=$P$55,$P$54,I61="",0)</f>
        <v>0</v>
      </c>
      <c r="Q61" s="12" cm="1">
        <f t="array" ref="Q61">_xlfn.IFS(J61=$N$55,$N$54,J61=$O$55,$O$54,J61=$P$55,$P$54,J61="",0)</f>
        <v>0</v>
      </c>
      <c r="R61" s="2"/>
      <c r="S61" s="2"/>
    </row>
    <row r="62" spans="2:19" ht="23.1" customHeight="1">
      <c r="B62" s="329"/>
      <c r="C62" s="34"/>
      <c r="D62" s="307" t="s">
        <v>248</v>
      </c>
      <c r="E62" s="34"/>
      <c r="F62" s="60" t="s">
        <v>12</v>
      </c>
      <c r="G62" s="17"/>
      <c r="H62" s="17"/>
      <c r="I62" s="17"/>
      <c r="J62" s="17"/>
      <c r="K62" s="84">
        <f t="shared" si="15"/>
        <v>0</v>
      </c>
      <c r="L62" s="60"/>
      <c r="M62" s="4" t="s">
        <v>30</v>
      </c>
      <c r="N62" s="12" cm="1">
        <f t="array" ref="N62">_xlfn.IFS(G62=$N$55,$N$54,G62=$O$55,$O$54,G62=$P$55,$P$54,G62="",0)</f>
        <v>0</v>
      </c>
      <c r="O62" s="12" cm="1">
        <f t="array" ref="O62">_xlfn.IFS(H62=$N$55,$N$54,H62=$O$55,$O$54,H62=$P$55,$P$54,H62="",0)</f>
        <v>0</v>
      </c>
      <c r="P62" s="12" cm="1">
        <f t="array" ref="P62">_xlfn.IFS(I62=$N$55,$N$54,I62=$O$55,$O$54,I62=$P$55,$P$54,I62="",0)</f>
        <v>0</v>
      </c>
      <c r="Q62" s="12" cm="1">
        <f t="array" ref="Q62">_xlfn.IFS(J62=$N$55,$N$54,J62=$O$55,$O$54,J62=$P$55,$P$54,J62="",0)</f>
        <v>0</v>
      </c>
      <c r="R62" s="2"/>
      <c r="S62" s="2"/>
    </row>
    <row r="63" spans="2:19" ht="23.1" customHeight="1">
      <c r="B63" s="329"/>
      <c r="C63" s="34"/>
      <c r="D63" s="82"/>
      <c r="E63" s="34"/>
      <c r="F63" s="60"/>
      <c r="G63" s="60"/>
      <c r="H63" s="60"/>
      <c r="I63" s="60"/>
      <c r="J63" s="60"/>
      <c r="K63" s="60"/>
      <c r="L63" s="60"/>
      <c r="M63" s="4"/>
      <c r="N63" s="2"/>
      <c r="O63" s="2"/>
      <c r="P63" s="2"/>
      <c r="Q63" s="2"/>
      <c r="R63" s="2"/>
      <c r="S63" s="2"/>
    </row>
    <row r="64" spans="2:19" ht="23.1" customHeight="1">
      <c r="B64" s="329"/>
      <c r="C64" s="34"/>
      <c r="D64" s="61"/>
      <c r="E64" s="34"/>
      <c r="F64" s="60"/>
      <c r="G64" s="60"/>
      <c r="H64" s="60"/>
      <c r="I64" s="60"/>
      <c r="J64" s="60"/>
      <c r="K64" s="60"/>
      <c r="L64" s="60"/>
      <c r="M64" s="4"/>
      <c r="N64" s="2"/>
      <c r="O64" s="2"/>
      <c r="P64" s="2"/>
      <c r="Q64" s="2"/>
      <c r="R64" s="2"/>
      <c r="S64" s="2"/>
    </row>
    <row r="65" spans="2:21" ht="21" customHeight="1">
      <c r="B65" s="329"/>
      <c r="C65" s="34"/>
      <c r="D65" s="48" t="s">
        <v>34</v>
      </c>
      <c r="E65" s="48"/>
      <c r="F65" s="48"/>
      <c r="G65" s="85">
        <f>SUM(N58:N62)</f>
        <v>0</v>
      </c>
      <c r="H65" s="85">
        <f t="shared" ref="H65:J65" si="16">SUM(O58:O62)</f>
        <v>0</v>
      </c>
      <c r="I65" s="85">
        <f t="shared" si="16"/>
        <v>0</v>
      </c>
      <c r="J65" s="85">
        <f t="shared" si="16"/>
        <v>0</v>
      </c>
      <c r="K65" s="85">
        <f>SUM(G65:J65)</f>
        <v>0</v>
      </c>
      <c r="L65" s="34"/>
      <c r="M65" s="4"/>
      <c r="N65" s="2"/>
      <c r="O65" s="2"/>
      <c r="P65" s="2"/>
      <c r="Q65" s="2"/>
      <c r="R65" s="2"/>
      <c r="S65" s="2"/>
    </row>
    <row r="66" spans="2:21" ht="24.95" customHeight="1">
      <c r="B66" s="329"/>
      <c r="C66" s="34"/>
      <c r="D66" s="247" t="s">
        <v>158</v>
      </c>
      <c r="E66" s="48"/>
      <c r="F66" s="48"/>
      <c r="G66" s="65"/>
      <c r="H66" s="65"/>
      <c r="I66" s="65"/>
      <c r="J66" s="65"/>
      <c r="K66" s="65"/>
      <c r="L66" s="34"/>
      <c r="M66" s="2"/>
      <c r="N66" s="2"/>
      <c r="O66" s="2"/>
      <c r="P66" s="2"/>
      <c r="Q66" s="2"/>
      <c r="R66" s="2"/>
      <c r="S66" s="2"/>
    </row>
    <row r="69" spans="2:21" ht="23.1" customHeight="1">
      <c r="B69" s="330" t="s">
        <v>132</v>
      </c>
      <c r="C69" s="34"/>
      <c r="D69" s="58"/>
      <c r="E69" s="37"/>
      <c r="F69" s="37"/>
      <c r="G69" s="291">
        <f>IF(G98&lt;&gt;0,1,0)</f>
        <v>0</v>
      </c>
      <c r="H69" s="291">
        <f>IF(H98&lt;&gt;0,1,0)</f>
        <v>0</v>
      </c>
      <c r="I69" s="291">
        <f>IF(I98&lt;&gt;0,1,0)</f>
        <v>0</v>
      </c>
      <c r="J69" s="291">
        <f>IF(J98&lt;&gt;0,1,0)</f>
        <v>0</v>
      </c>
      <c r="K69" s="37"/>
      <c r="L69" s="34"/>
      <c r="M69" s="2"/>
      <c r="N69" s="8"/>
      <c r="O69" s="8"/>
      <c r="P69" s="8"/>
      <c r="Q69" s="8"/>
      <c r="R69" s="8"/>
      <c r="S69" s="8"/>
    </row>
    <row r="70" spans="2:21" ht="23.1" customHeight="1">
      <c r="B70" s="330"/>
      <c r="C70" s="37"/>
      <c r="D70" s="34"/>
      <c r="E70" s="34"/>
      <c r="F70" s="34"/>
      <c r="G70" s="59" t="s">
        <v>54</v>
      </c>
      <c r="H70" s="59" t="s">
        <v>55</v>
      </c>
      <c r="I70" s="59" t="s">
        <v>56</v>
      </c>
      <c r="J70" s="59" t="s">
        <v>57</v>
      </c>
      <c r="K70" s="34"/>
      <c r="L70" s="34"/>
      <c r="M70" s="5" t="s">
        <v>59</v>
      </c>
      <c r="N70" s="311">
        <f>VLOOKUP($N$3,'Tarif AFJ'!$D:$E,2,FALSE)</f>
        <v>1.3</v>
      </c>
      <c r="O70" s="311">
        <f>VLOOKUP($N$3,'Tarif AFJ'!$D:$E,2,FALSE)</f>
        <v>1.3</v>
      </c>
      <c r="P70" s="311">
        <f>VLOOKUP($N$3,'Tarif AFJ'!$D:$E,2,FALSE)</f>
        <v>1.3</v>
      </c>
      <c r="Q70" s="311">
        <f>VLOOKUP($N$3,'Tarif AFJ'!$D:$E,2,FALSE)</f>
        <v>1.3</v>
      </c>
      <c r="R70" s="312"/>
      <c r="S70" s="2"/>
    </row>
    <row r="71" spans="2:21" ht="15.95" customHeight="1" thickBot="1">
      <c r="B71" s="330"/>
      <c r="C71" s="37"/>
      <c r="D71" s="36" t="s">
        <v>1</v>
      </c>
      <c r="E71" s="34"/>
      <c r="F71" s="34"/>
      <c r="G71" s="59"/>
      <c r="H71" s="59"/>
      <c r="I71" s="59"/>
      <c r="J71" s="59"/>
      <c r="K71" s="59"/>
      <c r="L71" s="34"/>
      <c r="M71" s="5" t="s">
        <v>8</v>
      </c>
      <c r="N71" s="311" t="e">
        <f>VLOOKUP(G72,Data!$F$16:$G$19,2,FALSE)</f>
        <v>#N/A</v>
      </c>
      <c r="O71" s="311" t="e">
        <f>VLOOKUP(H72,Data!$F$16:$G$19,2,FALSE)</f>
        <v>#N/A</v>
      </c>
      <c r="P71" s="311" t="e">
        <f>VLOOKUP(I72,Data!$F$16:$G$19,2,FALSE)</f>
        <v>#N/A</v>
      </c>
      <c r="Q71" s="311" t="e">
        <f>VLOOKUP(J72,Data!$F$16:$G$19,2,FALSE)</f>
        <v>#N/A</v>
      </c>
      <c r="R71" s="312"/>
      <c r="S71" s="2"/>
    </row>
    <row r="72" spans="2:21" ht="23.1" customHeight="1" thickBot="1">
      <c r="B72" s="330"/>
      <c r="C72" s="34"/>
      <c r="D72" s="68" t="s">
        <v>141</v>
      </c>
      <c r="E72" s="34"/>
      <c r="F72" s="292" t="s">
        <v>169</v>
      </c>
      <c r="G72" s="283"/>
      <c r="H72" s="284"/>
      <c r="I72" s="284"/>
      <c r="J72" s="286"/>
      <c r="K72" s="285"/>
      <c r="L72" s="34"/>
      <c r="M72" s="5" t="s">
        <v>14</v>
      </c>
      <c r="N72" s="311">
        <f>Data!$G$5</f>
        <v>2</v>
      </c>
      <c r="O72" s="311">
        <f>Data!$G$5</f>
        <v>2</v>
      </c>
      <c r="P72" s="311">
        <f>Data!$G$5</f>
        <v>2</v>
      </c>
      <c r="Q72" s="311">
        <f>Data!$G$5</f>
        <v>2</v>
      </c>
      <c r="R72" s="312"/>
      <c r="S72" s="2"/>
    </row>
    <row r="73" spans="2:21" ht="23.1" customHeight="1" thickBot="1">
      <c r="B73" s="330"/>
      <c r="C73" s="34"/>
      <c r="D73" s="68"/>
      <c r="E73" s="34"/>
      <c r="F73" s="292" t="s">
        <v>224</v>
      </c>
      <c r="G73" s="283"/>
      <c r="H73" s="284"/>
      <c r="I73" s="284"/>
      <c r="J73" s="286"/>
      <c r="K73" s="59" t="s">
        <v>0</v>
      </c>
      <c r="L73" s="34"/>
      <c r="M73" s="5" t="s">
        <v>128</v>
      </c>
      <c r="N73" s="311">
        <f>Data!$G$6</f>
        <v>1</v>
      </c>
      <c r="O73" s="311">
        <f>Data!$G$6</f>
        <v>1</v>
      </c>
      <c r="P73" s="311">
        <f>Data!$G$6</f>
        <v>1</v>
      </c>
      <c r="Q73" s="311">
        <f>Data!$G$6</f>
        <v>1</v>
      </c>
      <c r="R73" s="312"/>
      <c r="S73" s="2"/>
    </row>
    <row r="74" spans="2:21" ht="23.1" customHeight="1">
      <c r="B74" s="330"/>
      <c r="C74" s="34"/>
      <c r="D74" s="41"/>
      <c r="E74" s="34"/>
      <c r="F74" s="34"/>
      <c r="G74" s="34"/>
      <c r="H74" s="34"/>
      <c r="I74" s="34"/>
      <c r="J74" s="34"/>
      <c r="K74" s="34"/>
      <c r="L74" s="34"/>
      <c r="M74" s="5" t="s">
        <v>15</v>
      </c>
      <c r="N74" s="311">
        <f>Data!$G$8</f>
        <v>2</v>
      </c>
      <c r="O74" s="311">
        <f>Data!$G$8</f>
        <v>2</v>
      </c>
      <c r="P74" s="311">
        <f>Data!$G$8</f>
        <v>2</v>
      </c>
      <c r="Q74" s="311">
        <f>Data!$G$8</f>
        <v>2</v>
      </c>
      <c r="R74" s="312"/>
      <c r="S74" s="2"/>
    </row>
    <row r="75" spans="2:21" ht="24.95" customHeight="1">
      <c r="B75" s="330"/>
      <c r="C75" s="34"/>
      <c r="D75" s="41"/>
      <c r="E75" s="34"/>
      <c r="F75" s="69" t="s">
        <v>9</v>
      </c>
      <c r="G75" s="23"/>
      <c r="H75" s="23"/>
      <c r="I75" s="23"/>
      <c r="J75" s="23"/>
      <c r="K75" s="24"/>
      <c r="L75" s="34"/>
      <c r="M75" s="2"/>
      <c r="N75" s="2"/>
      <c r="O75" s="2"/>
      <c r="P75" s="2"/>
      <c r="Q75" s="2"/>
      <c r="R75" s="2"/>
      <c r="S75" s="2"/>
    </row>
    <row r="76" spans="2:21" ht="24.95" customHeight="1">
      <c r="B76" s="330"/>
      <c r="C76" s="34"/>
      <c r="D76" s="297" t="s">
        <v>253</v>
      </c>
      <c r="E76" s="34"/>
      <c r="F76" s="70" t="s">
        <v>31</v>
      </c>
      <c r="G76" s="301"/>
      <c r="H76" s="301"/>
      <c r="I76" s="301"/>
      <c r="J76" s="301"/>
      <c r="K76" s="21"/>
      <c r="L76" s="34"/>
      <c r="M76" s="4"/>
      <c r="N76" s="12">
        <f>MROUND(G76*24*N$70,0.05)</f>
        <v>0</v>
      </c>
      <c r="O76" s="12">
        <f>MROUND(H76*24*O$70,0.05)</f>
        <v>0</v>
      </c>
      <c r="P76" s="12">
        <f>MROUND(I76*24*P$70,0.05)</f>
        <v>0</v>
      </c>
      <c r="Q76" s="12">
        <f>MROUND(J76*24*Q$70,0.05)</f>
        <v>0</v>
      </c>
      <c r="R76" s="2"/>
      <c r="S76" s="2"/>
    </row>
    <row r="77" spans="2:21" ht="24.95" customHeight="1">
      <c r="B77" s="330"/>
      <c r="C77" s="34"/>
      <c r="D77" s="293" t="s">
        <v>229</v>
      </c>
      <c r="E77" s="34"/>
      <c r="F77" s="72" t="s">
        <v>8</v>
      </c>
      <c r="G77" s="20"/>
      <c r="H77" s="20"/>
      <c r="I77" s="20"/>
      <c r="J77" s="20"/>
      <c r="K77" s="22">
        <f>SUM(N77:Q77)</f>
        <v>0</v>
      </c>
      <c r="L77" s="34"/>
      <c r="M77" s="4"/>
      <c r="N77" s="15">
        <f>IFERROR(VLOOKUP(G77,$M$92:$Q$101,2,FALSE),0)</f>
        <v>0</v>
      </c>
      <c r="O77" s="15">
        <f>IFERROR(VLOOKUP(H77,$M$92:$Q$101,3,FALSE),0)</f>
        <v>0</v>
      </c>
      <c r="P77" s="15">
        <f>IFERROR(VLOOKUP(I77,$M$92:$Q$101,4,FALSE),0)</f>
        <v>0</v>
      </c>
      <c r="Q77" s="15">
        <f>IFERROR(VLOOKUP(J77,$M$92:$Q$101,5,FALSE),0)</f>
        <v>0</v>
      </c>
      <c r="R77" s="2"/>
      <c r="S77" s="2"/>
    </row>
    <row r="78" spans="2:21" ht="24.95" customHeight="1">
      <c r="B78" s="330"/>
      <c r="C78" s="34"/>
      <c r="D78" s="266" t="s">
        <v>174</v>
      </c>
      <c r="E78" s="34"/>
      <c r="F78" s="69" t="s">
        <v>10</v>
      </c>
      <c r="G78" s="23"/>
      <c r="H78" s="23"/>
      <c r="I78" s="23"/>
      <c r="J78" s="23"/>
      <c r="K78" s="24"/>
      <c r="L78" s="34"/>
      <c r="M78" s="4"/>
      <c r="N78" s="2"/>
      <c r="O78" s="2"/>
      <c r="P78" s="2"/>
      <c r="Q78" s="2"/>
      <c r="R78" s="12"/>
      <c r="S78" s="2"/>
    </row>
    <row r="79" spans="2:21" s="13" customFormat="1" ht="24.95" customHeight="1">
      <c r="B79" s="330"/>
      <c r="C79" s="71"/>
      <c r="D79" s="266"/>
      <c r="E79" s="71"/>
      <c r="F79" s="70" t="s">
        <v>31</v>
      </c>
      <c r="G79" s="301"/>
      <c r="H79" s="301"/>
      <c r="I79" s="301"/>
      <c r="J79" s="301"/>
      <c r="K79" s="21"/>
      <c r="L79" s="71"/>
      <c r="M79" s="14"/>
      <c r="N79" s="12">
        <f>MROUND(G79*24*N$70,0.05)</f>
        <v>0</v>
      </c>
      <c r="O79" s="12">
        <f>MROUND(H79*24*O$70,0.05)</f>
        <v>0</v>
      </c>
      <c r="P79" s="12">
        <f>MROUND(I79*24*P$70,0.05)</f>
        <v>0</v>
      </c>
      <c r="Q79" s="12">
        <f>MROUND(J79*24*Q$70,0.05)</f>
        <v>0</v>
      </c>
      <c r="R79" s="15"/>
      <c r="S79" s="16"/>
      <c r="U79"/>
    </row>
    <row r="80" spans="2:21" ht="24.95" customHeight="1">
      <c r="B80" s="330"/>
      <c r="C80" s="34"/>
      <c r="D80" s="293" t="s">
        <v>230</v>
      </c>
      <c r="E80" s="34"/>
      <c r="F80" s="72" t="s">
        <v>8</v>
      </c>
      <c r="G80" s="20"/>
      <c r="H80" s="20"/>
      <c r="I80" s="20"/>
      <c r="J80" s="20"/>
      <c r="K80" s="22">
        <f>SUM(N80:Q80)</f>
        <v>0</v>
      </c>
      <c r="L80" s="34"/>
      <c r="M80" s="4"/>
      <c r="N80" s="15">
        <f>IFERROR(VLOOKUP(G80,$M$92:$Q$101,2,FALSE),0)</f>
        <v>0</v>
      </c>
      <c r="O80" s="15">
        <f>IFERROR(VLOOKUP(H80,$M$92:$Q$101,3,FALSE),0)</f>
        <v>0</v>
      </c>
      <c r="P80" s="15">
        <f>IFERROR(VLOOKUP(I80,$M$92:$Q$101,4,FALSE),0)</f>
        <v>0</v>
      </c>
      <c r="Q80" s="15">
        <f>IFERROR(VLOOKUP(J80,$M$92:$Q$101,5,FALSE),0)</f>
        <v>0</v>
      </c>
      <c r="R80" s="2"/>
      <c r="S80" s="2"/>
    </row>
    <row r="81" spans="2:21" ht="24.95" customHeight="1">
      <c r="B81" s="330"/>
      <c r="C81" s="34"/>
      <c r="D81" s="293" t="s">
        <v>228</v>
      </c>
      <c r="E81" s="34"/>
      <c r="F81" s="69" t="s">
        <v>16</v>
      </c>
      <c r="G81" s="23"/>
      <c r="H81" s="23"/>
      <c r="I81" s="23"/>
      <c r="J81" s="23"/>
      <c r="K81" s="24"/>
      <c r="L81" s="34"/>
      <c r="M81" s="4"/>
      <c r="N81" s="2"/>
      <c r="O81" s="2"/>
      <c r="P81" s="2"/>
      <c r="Q81" s="2"/>
      <c r="R81" s="2"/>
      <c r="S81" s="2"/>
    </row>
    <row r="82" spans="2:21" ht="24.95" customHeight="1">
      <c r="B82" s="330"/>
      <c r="C82" s="34"/>
      <c r="D82" s="266" t="s">
        <v>181</v>
      </c>
      <c r="E82" s="34"/>
      <c r="F82" s="70" t="s">
        <v>31</v>
      </c>
      <c r="G82" s="301"/>
      <c r="H82" s="301"/>
      <c r="I82" s="301"/>
      <c r="J82" s="301"/>
      <c r="K82" s="21"/>
      <c r="L82" s="34"/>
      <c r="M82" s="4"/>
      <c r="N82" s="16"/>
      <c r="O82" s="16"/>
      <c r="P82" s="16"/>
      <c r="Q82" s="16"/>
      <c r="R82" s="2"/>
      <c r="S82" s="2"/>
    </row>
    <row r="83" spans="2:21" ht="24.95" customHeight="1">
      <c r="B83" s="330"/>
      <c r="C83" s="34"/>
      <c r="D83" s="266"/>
      <c r="E83" s="34"/>
      <c r="F83" s="72" t="s">
        <v>8</v>
      </c>
      <c r="G83" s="20"/>
      <c r="H83" s="20"/>
      <c r="I83" s="20"/>
      <c r="J83" s="20"/>
      <c r="K83" s="22">
        <f>SUM(N84:Q84)</f>
        <v>0</v>
      </c>
      <c r="L83" s="34"/>
      <c r="M83" s="4"/>
      <c r="N83" s="12">
        <f>MROUND(G82*24*N$70,0.05)</f>
        <v>0</v>
      </c>
      <c r="O83" s="12">
        <f>MROUND(H82*24*O$70,0.05)</f>
        <v>0</v>
      </c>
      <c r="P83" s="12">
        <f>MROUND(I82*24*P$70,0.05)</f>
        <v>0</v>
      </c>
      <c r="Q83" s="12">
        <f>MROUND(J82*24*Q$70,0.05)</f>
        <v>0</v>
      </c>
      <c r="R83" s="12"/>
      <c r="S83" s="2"/>
    </row>
    <row r="84" spans="2:21" s="13" customFormat="1" ht="24.95" customHeight="1">
      <c r="B84" s="330"/>
      <c r="C84" s="71"/>
      <c r="D84" s="293" t="s">
        <v>255</v>
      </c>
      <c r="E84" s="71"/>
      <c r="F84" s="69" t="s">
        <v>11</v>
      </c>
      <c r="G84" s="23"/>
      <c r="H84" s="23"/>
      <c r="I84" s="23"/>
      <c r="J84" s="23"/>
      <c r="K84" s="24"/>
      <c r="L84" s="71"/>
      <c r="M84" s="14"/>
      <c r="N84" s="15">
        <f>IFERROR(VLOOKUP(G83,$M$92:$Q$101,2,FALSE),0)</f>
        <v>0</v>
      </c>
      <c r="O84" s="15">
        <f>IFERROR(VLOOKUP(H83,$M$92:$Q$101,3,FALSE),0)</f>
        <v>0</v>
      </c>
      <c r="P84" s="15">
        <f>IFERROR(VLOOKUP(I83,$M$92:$Q$101,4,FALSE),0)</f>
        <v>0</v>
      </c>
      <c r="Q84" s="15">
        <f>IFERROR(VLOOKUP(J83,$M$92:$Q$101,5,FALSE),0)</f>
        <v>0</v>
      </c>
      <c r="R84" s="15"/>
      <c r="S84" s="16"/>
      <c r="U84"/>
    </row>
    <row r="85" spans="2:21" ht="24.95" customHeight="1">
      <c r="B85" s="330"/>
      <c r="C85" s="34"/>
      <c r="D85" s="266" t="s">
        <v>256</v>
      </c>
      <c r="E85" s="34"/>
      <c r="F85" s="70" t="s">
        <v>31</v>
      </c>
      <c r="G85" s="301"/>
      <c r="H85" s="301"/>
      <c r="I85" s="301"/>
      <c r="J85" s="301"/>
      <c r="K85" s="21"/>
      <c r="L85" s="34"/>
      <c r="M85" s="4"/>
      <c r="N85" s="2"/>
      <c r="O85" s="2"/>
      <c r="P85" s="2"/>
      <c r="Q85" s="2"/>
      <c r="R85" s="2"/>
      <c r="S85" s="2"/>
    </row>
    <row r="86" spans="2:21" ht="24.95" customHeight="1">
      <c r="B86" s="330"/>
      <c r="C86" s="34"/>
      <c r="D86" s="266" t="s">
        <v>251</v>
      </c>
      <c r="E86" s="34"/>
      <c r="F86" s="72" t="s">
        <v>8</v>
      </c>
      <c r="G86" s="20"/>
      <c r="H86" s="20"/>
      <c r="I86" s="20"/>
      <c r="J86" s="20"/>
      <c r="K86" s="22">
        <f>SUM(N87:Q87)</f>
        <v>0</v>
      </c>
      <c r="L86" s="34"/>
      <c r="M86" s="4"/>
      <c r="N86" s="12">
        <f>MROUND(G85*24*N$70,0.05)</f>
        <v>0</v>
      </c>
      <c r="O86" s="12">
        <f>MROUND(H85*24*O$70,0.05)</f>
        <v>0</v>
      </c>
      <c r="P86" s="12">
        <f>MROUND(I85*24*P$70,0.05)</f>
        <v>0</v>
      </c>
      <c r="Q86" s="12">
        <f>MROUND(J85*24*Q$70,0.05)</f>
        <v>0</v>
      </c>
      <c r="R86" s="2"/>
      <c r="S86" s="2"/>
    </row>
    <row r="87" spans="2:21" ht="24.95" customHeight="1">
      <c r="B87" s="330"/>
      <c r="C87" s="34"/>
      <c r="D87" s="267" t="s">
        <v>257</v>
      </c>
      <c r="E87" s="34"/>
      <c r="F87" s="69" t="s">
        <v>12</v>
      </c>
      <c r="G87" s="23"/>
      <c r="H87" s="23"/>
      <c r="I87" s="23"/>
      <c r="J87" s="23"/>
      <c r="K87" s="24"/>
      <c r="L87" s="34"/>
      <c r="M87" s="4"/>
      <c r="N87" s="15">
        <f>IFERROR(VLOOKUP(G86,$M$92:$Q$101,2,FALSE),0)</f>
        <v>0</v>
      </c>
      <c r="O87" s="15">
        <f>IFERROR(VLOOKUP(H86,$M$92:$Q$101,3,FALSE),0)</f>
        <v>0</v>
      </c>
      <c r="P87" s="15">
        <f>IFERROR(VLOOKUP(I86,$M$92:$Q$101,4,FALSE),0)</f>
        <v>0</v>
      </c>
      <c r="Q87" s="15">
        <f>IFERROR(VLOOKUP(J86,$M$92:$Q$101,5,FALSE),0)</f>
        <v>0</v>
      </c>
      <c r="R87" s="2"/>
      <c r="S87" s="2"/>
    </row>
    <row r="88" spans="2:21" ht="24.95" customHeight="1">
      <c r="B88" s="330"/>
      <c r="C88" s="34"/>
      <c r="D88" s="303" t="s">
        <v>258</v>
      </c>
      <c r="E88" s="34"/>
      <c r="F88" s="70" t="s">
        <v>31</v>
      </c>
      <c r="G88" s="302"/>
      <c r="H88" s="302"/>
      <c r="I88" s="302"/>
      <c r="J88" s="302"/>
      <c r="K88" s="21"/>
      <c r="L88" s="34"/>
      <c r="M88" s="4"/>
      <c r="N88" s="2"/>
      <c r="O88" s="2"/>
      <c r="P88" s="2"/>
      <c r="Q88" s="2"/>
      <c r="R88" s="12"/>
      <c r="S88" s="2"/>
    </row>
    <row r="89" spans="2:21" s="13" customFormat="1" ht="24.95" customHeight="1">
      <c r="B89" s="330"/>
      <c r="C89" s="71"/>
      <c r="D89" s="303" t="s">
        <v>259</v>
      </c>
      <c r="E89" s="71"/>
      <c r="F89" s="72" t="s">
        <v>8</v>
      </c>
      <c r="G89" s="20"/>
      <c r="H89" s="20"/>
      <c r="I89" s="20"/>
      <c r="J89" s="20"/>
      <c r="K89" s="22">
        <f>SUM(N90:Q90)</f>
        <v>0</v>
      </c>
      <c r="L89" s="71"/>
      <c r="M89" s="14"/>
      <c r="N89" s="12">
        <f>MROUND(G88*24*N$70,0.05)</f>
        <v>0</v>
      </c>
      <c r="O89" s="12">
        <f>MROUND(H88*24*O$70,0.05)</f>
        <v>0</v>
      </c>
      <c r="P89" s="12">
        <f>MROUND(I88*24*P$70,0.05)</f>
        <v>0</v>
      </c>
      <c r="Q89" s="12">
        <f>MROUND(J88*24*Q$70,0.05)</f>
        <v>0</v>
      </c>
      <c r="R89" s="15"/>
      <c r="S89" s="16"/>
      <c r="U89"/>
    </row>
    <row r="90" spans="2:21" ht="23.1" customHeight="1">
      <c r="B90" s="330"/>
      <c r="C90" s="34"/>
      <c r="D90" s="266"/>
      <c r="E90" s="34"/>
      <c r="F90" s="41"/>
      <c r="G90" s="34"/>
      <c r="H90" s="34"/>
      <c r="I90" s="34"/>
      <c r="J90" s="34"/>
      <c r="K90" s="34"/>
      <c r="L90" s="34"/>
      <c r="M90" s="4"/>
      <c r="N90" s="15">
        <f>IFERROR(VLOOKUP(G89,$M$92:$Q$101,2,FALSE),0)</f>
        <v>0</v>
      </c>
      <c r="O90" s="15">
        <f>IFERROR(VLOOKUP(H89,$M$92:$Q$101,3,FALSE),0)</f>
        <v>0</v>
      </c>
      <c r="P90" s="15">
        <f>IFERROR(VLOOKUP(I89,$M$92:$Q$101,4,FALSE),0)</f>
        <v>0</v>
      </c>
      <c r="Q90" s="15">
        <f>IFERROR(VLOOKUP(J89,$M$92:$Q$101,5,FALSE),0)</f>
        <v>0</v>
      </c>
      <c r="R90" s="2"/>
      <c r="S90" s="2"/>
    </row>
    <row r="91" spans="2:21" ht="23.1" customHeight="1">
      <c r="B91" s="330"/>
      <c r="C91" s="34"/>
      <c r="D91" s="293" t="s">
        <v>252</v>
      </c>
      <c r="E91" s="34"/>
      <c r="F91" s="36" t="s">
        <v>32</v>
      </c>
      <c r="G91" s="28">
        <f>G76+G79+G82+G85+G88</f>
        <v>0</v>
      </c>
      <c r="H91" s="28">
        <f t="shared" ref="H91:J91" si="17">H76+H79+H82+H85+H88</f>
        <v>0</v>
      </c>
      <c r="I91" s="28">
        <f t="shared" si="17"/>
        <v>0</v>
      </c>
      <c r="J91" s="28">
        <f t="shared" si="17"/>
        <v>0</v>
      </c>
      <c r="K91" s="28">
        <f>SUM(G91:J91)</f>
        <v>0</v>
      </c>
      <c r="L91" s="34"/>
      <c r="M91" s="4"/>
      <c r="N91" s="2"/>
      <c r="O91" s="2"/>
      <c r="P91" s="2"/>
      <c r="Q91" s="2"/>
      <c r="R91" s="2"/>
      <c r="S91" s="2"/>
    </row>
    <row r="92" spans="2:21" ht="23.1" customHeight="1">
      <c r="B92" s="330"/>
      <c r="C92" s="34"/>
      <c r="D92" s="266" t="s">
        <v>168</v>
      </c>
      <c r="E92" s="34"/>
      <c r="F92" s="36" t="s">
        <v>36</v>
      </c>
      <c r="G92" s="18">
        <f t="shared" ref="G92:J93" si="18">SUM(N76,N79,N83,N86,N89)</f>
        <v>0</v>
      </c>
      <c r="H92" s="18">
        <f t="shared" si="18"/>
        <v>0</v>
      </c>
      <c r="I92" s="18">
        <f t="shared" si="18"/>
        <v>0</v>
      </c>
      <c r="J92" s="18">
        <f t="shared" si="18"/>
        <v>0</v>
      </c>
      <c r="K92" s="18">
        <f>SUM(G92:J92)</f>
        <v>0</v>
      </c>
      <c r="L92" s="34"/>
      <c r="M92" s="263" t="s">
        <v>14</v>
      </c>
      <c r="N92" s="265">
        <f t="shared" ref="N92:Q93" si="19">N72</f>
        <v>2</v>
      </c>
      <c r="O92" s="265">
        <f t="shared" si="19"/>
        <v>2</v>
      </c>
      <c r="P92" s="265">
        <f t="shared" si="19"/>
        <v>2</v>
      </c>
      <c r="Q92" s="265">
        <f t="shared" si="19"/>
        <v>2</v>
      </c>
      <c r="R92" s="2"/>
      <c r="S92" s="2"/>
    </row>
    <row r="93" spans="2:21" ht="23.1" customHeight="1">
      <c r="B93" s="330"/>
      <c r="C93" s="34"/>
      <c r="D93" s="310"/>
      <c r="E93" s="34"/>
      <c r="F93" s="36" t="s">
        <v>37</v>
      </c>
      <c r="G93" s="18">
        <f t="shared" si="18"/>
        <v>0</v>
      </c>
      <c r="H93" s="18">
        <f t="shared" si="18"/>
        <v>0</v>
      </c>
      <c r="I93" s="18">
        <f t="shared" si="18"/>
        <v>0</v>
      </c>
      <c r="J93" s="18">
        <f t="shared" si="18"/>
        <v>0</v>
      </c>
      <c r="K93" s="18">
        <f>SUM(G93:J93)</f>
        <v>0</v>
      </c>
      <c r="L93" s="34"/>
      <c r="M93" s="263" t="s">
        <v>128</v>
      </c>
      <c r="N93" s="265">
        <f t="shared" si="19"/>
        <v>1</v>
      </c>
      <c r="O93" s="265">
        <f t="shared" si="19"/>
        <v>1</v>
      </c>
      <c r="P93" s="265">
        <f t="shared" si="19"/>
        <v>1</v>
      </c>
      <c r="Q93" s="265">
        <f t="shared" si="19"/>
        <v>1</v>
      </c>
      <c r="R93" s="12"/>
      <c r="S93" s="2"/>
    </row>
    <row r="94" spans="2:21" s="13" customFormat="1" ht="18.75">
      <c r="B94" s="330"/>
      <c r="C94" s="71"/>
      <c r="D94" s="308" t="s">
        <v>248</v>
      </c>
      <c r="E94" s="71"/>
      <c r="F94" s="41"/>
      <c r="G94" s="34"/>
      <c r="H94" s="34"/>
      <c r="I94" s="34"/>
      <c r="J94" s="34"/>
      <c r="K94" s="34"/>
      <c r="L94" s="71"/>
      <c r="M94" s="263" t="s">
        <v>8</v>
      </c>
      <c r="N94" s="265" t="e">
        <f>N71</f>
        <v>#N/A</v>
      </c>
      <c r="O94" s="265" t="e">
        <f>O71</f>
        <v>#N/A</v>
      </c>
      <c r="P94" s="265" t="e">
        <f>P71</f>
        <v>#N/A</v>
      </c>
      <c r="Q94" s="265" t="e">
        <f>Q71</f>
        <v>#N/A</v>
      </c>
      <c r="R94" s="15"/>
      <c r="S94" s="16"/>
      <c r="U94"/>
    </row>
    <row r="95" spans="2:21" ht="23.1" customHeight="1" thickBot="1">
      <c r="B95" s="330"/>
      <c r="C95" s="34"/>
      <c r="D95" s="310"/>
      <c r="E95" s="34"/>
      <c r="F95" s="34"/>
      <c r="G95" s="287">
        <f>IF(G$73="38 semaines", 38, 46)</f>
        <v>46</v>
      </c>
      <c r="H95" s="287">
        <f t="shared" ref="H95:J95" si="20">IF(H$73="38 semaines", 38, 46)</f>
        <v>46</v>
      </c>
      <c r="I95" s="287">
        <f>IF(I$73="38 semaines", 38, 46)</f>
        <v>46</v>
      </c>
      <c r="J95" s="287">
        <f t="shared" si="20"/>
        <v>46</v>
      </c>
      <c r="K95" s="64"/>
      <c r="L95" s="34"/>
      <c r="M95" s="263" t="s">
        <v>15</v>
      </c>
      <c r="N95" s="265">
        <f>N74</f>
        <v>2</v>
      </c>
      <c r="O95" s="265">
        <f>O74</f>
        <v>2</v>
      </c>
      <c r="P95" s="265">
        <f>P74</f>
        <v>2</v>
      </c>
      <c r="Q95" s="265">
        <f>Q74</f>
        <v>2</v>
      </c>
      <c r="R95" s="2"/>
      <c r="S95" s="2"/>
    </row>
    <row r="96" spans="2:21" ht="23.1" customHeight="1" thickBot="1">
      <c r="B96" s="330"/>
      <c r="C96" s="34"/>
      <c r="D96" s="293" t="s">
        <v>35</v>
      </c>
      <c r="E96" s="34"/>
      <c r="F96" s="48"/>
      <c r="G96" s="19">
        <f>SUM(G92:G93)</f>
        <v>0</v>
      </c>
      <c r="H96" s="19">
        <f t="shared" ref="H96:K96" si="21">SUM(H92:H93)</f>
        <v>0</v>
      </c>
      <c r="I96" s="19">
        <f t="shared" si="21"/>
        <v>0</v>
      </c>
      <c r="J96" s="19">
        <f t="shared" si="21"/>
        <v>0</v>
      </c>
      <c r="K96" s="19">
        <f t="shared" si="21"/>
        <v>0</v>
      </c>
      <c r="L96" s="34"/>
      <c r="M96" s="263" t="s">
        <v>175</v>
      </c>
      <c r="N96" s="265">
        <f>N72+N73</f>
        <v>3</v>
      </c>
      <c r="O96" s="265">
        <f>O72+O73</f>
        <v>3</v>
      </c>
      <c r="P96" s="265">
        <f>P72+P73</f>
        <v>3</v>
      </c>
      <c r="Q96" s="265">
        <f>Q72+Q73</f>
        <v>3</v>
      </c>
      <c r="R96" s="2"/>
      <c r="S96" s="2"/>
    </row>
    <row r="97" spans="2:19" ht="23.1" customHeight="1" thickBot="1">
      <c r="B97" s="330"/>
      <c r="C97" s="34"/>
      <c r="D97" s="293"/>
      <c r="E97" s="34"/>
      <c r="F97" s="48"/>
      <c r="G97" s="65"/>
      <c r="H97" s="65"/>
      <c r="I97" s="65"/>
      <c r="J97" s="65"/>
      <c r="K97" s="65"/>
      <c r="L97" s="34"/>
      <c r="M97" s="264" t="s">
        <v>176</v>
      </c>
      <c r="N97" s="265" t="e">
        <f>N72+N73+N71</f>
        <v>#N/A</v>
      </c>
      <c r="O97" s="265" t="e">
        <f>O72+O73+O71</f>
        <v>#N/A</v>
      </c>
      <c r="P97" s="265" t="e">
        <f>P72+P73+P71</f>
        <v>#N/A</v>
      </c>
      <c r="Q97" s="265" t="e">
        <f>Q72+Q73+Q71</f>
        <v>#N/A</v>
      </c>
      <c r="R97" s="2"/>
      <c r="S97" s="2"/>
    </row>
    <row r="98" spans="2:19" ht="23.1" customHeight="1" thickBot="1">
      <c r="B98" s="330"/>
      <c r="C98" s="34"/>
      <c r="D98" s="293" t="s">
        <v>38</v>
      </c>
      <c r="E98" s="34"/>
      <c r="F98" s="48"/>
      <c r="G98" s="9">
        <f>MROUND((G$96*G$95)/12,0.05)</f>
        <v>0</v>
      </c>
      <c r="H98" s="9">
        <f>MROUND((H$96*H$95)/12,0.05)</f>
        <v>0</v>
      </c>
      <c r="I98" s="9">
        <f>MROUND((I$96*I$95)/12,0.05)</f>
        <v>0</v>
      </c>
      <c r="J98" s="9">
        <f>MROUND((J$96*J$95)/12,0.05)</f>
        <v>0</v>
      </c>
      <c r="K98" s="9">
        <f>SUM(G98:J98)</f>
        <v>0</v>
      </c>
      <c r="L98" s="34"/>
      <c r="M98" s="263" t="s">
        <v>177</v>
      </c>
      <c r="N98" s="265" t="e">
        <f>N72+N73+N71+N74</f>
        <v>#N/A</v>
      </c>
      <c r="O98" s="265" t="e">
        <f>O72+O73+O71+O74</f>
        <v>#N/A</v>
      </c>
      <c r="P98" s="265" t="e">
        <f>P72+P73+P71+P74</f>
        <v>#N/A</v>
      </c>
      <c r="Q98" s="265" t="e">
        <f>Q72+Q73+Q71+Q74</f>
        <v>#N/A</v>
      </c>
      <c r="R98" s="12"/>
      <c r="S98" s="2"/>
    </row>
    <row r="99" spans="2:19" s="13" customFormat="1" ht="39.950000000000003" customHeight="1">
      <c r="B99" s="330"/>
      <c r="C99" s="71"/>
      <c r="D99" s="316" t="s">
        <v>182</v>
      </c>
      <c r="E99" s="71"/>
      <c r="F99" s="62"/>
      <c r="G99" s="63"/>
      <c r="H99" s="63"/>
      <c r="I99" s="63"/>
      <c r="J99" s="63"/>
      <c r="K99" s="63"/>
      <c r="L99" s="71"/>
      <c r="M99" s="263" t="s">
        <v>178</v>
      </c>
      <c r="N99" s="265" t="e">
        <f>N93+N71</f>
        <v>#N/A</v>
      </c>
      <c r="O99" s="265" t="e">
        <f>O93+O71</f>
        <v>#N/A</v>
      </c>
      <c r="P99" s="265" t="e">
        <f>P93+P71</f>
        <v>#N/A</v>
      </c>
      <c r="Q99" s="265" t="e">
        <f>Q93+Q71</f>
        <v>#N/A</v>
      </c>
      <c r="R99" s="15"/>
      <c r="S99" s="16"/>
    </row>
    <row r="100" spans="2:19" ht="23.1" hidden="1" customHeight="1">
      <c r="B100" s="330"/>
      <c r="C100" s="34"/>
      <c r="D100" s="266"/>
      <c r="E100" s="34"/>
      <c r="F100" s="34"/>
      <c r="G100" s="34"/>
      <c r="H100" s="34"/>
      <c r="I100" s="34"/>
      <c r="J100" s="34"/>
      <c r="K100" s="34"/>
      <c r="L100" s="34"/>
      <c r="M100" s="263" t="s">
        <v>179</v>
      </c>
      <c r="N100" s="265" t="e">
        <f>N93+N71+N74</f>
        <v>#N/A</v>
      </c>
      <c r="O100" s="265" t="e">
        <f>O93+O71+O74</f>
        <v>#N/A</v>
      </c>
      <c r="P100" s="265" t="e">
        <f>P93+P71+P74</f>
        <v>#N/A</v>
      </c>
      <c r="Q100" s="265" t="e">
        <f>Q93+Q71+Q74</f>
        <v>#N/A</v>
      </c>
      <c r="R100" s="2"/>
      <c r="S100" s="2"/>
    </row>
    <row r="101" spans="2:19" ht="23.1" hidden="1" customHeight="1">
      <c r="B101" s="330"/>
      <c r="C101" s="34"/>
      <c r="D101" s="268"/>
      <c r="E101" s="34"/>
      <c r="F101" s="34"/>
      <c r="G101" s="34"/>
      <c r="H101" s="34"/>
      <c r="I101" s="34"/>
      <c r="J101" s="34"/>
      <c r="K101" s="34"/>
      <c r="L101" s="34"/>
      <c r="M101" s="263" t="s">
        <v>180</v>
      </c>
      <c r="N101" s="265" t="e">
        <f>N71+N74</f>
        <v>#N/A</v>
      </c>
      <c r="O101" s="265" t="e">
        <f>O71+O74</f>
        <v>#N/A</v>
      </c>
      <c r="P101" s="265" t="e">
        <f>P71+P74</f>
        <v>#N/A</v>
      </c>
      <c r="Q101" s="265" t="e">
        <f>Q71+Q74</f>
        <v>#N/A</v>
      </c>
      <c r="R101" s="2"/>
      <c r="S101" s="2"/>
    </row>
    <row r="102" spans="2:19" ht="23.1" customHeight="1">
      <c r="B102" s="309"/>
    </row>
    <row r="103" spans="2:19" ht="29.1" customHeight="1">
      <c r="B103" s="325" t="s">
        <v>71</v>
      </c>
      <c r="C103" s="34"/>
      <c r="D103" s="58"/>
      <c r="E103" s="37"/>
      <c r="F103" s="37"/>
      <c r="G103" s="291">
        <f>IF(G115&lt;&gt;0,1,0)</f>
        <v>0</v>
      </c>
      <c r="H103" s="291">
        <f t="shared" ref="H103:J103" si="22">IF(H115&lt;&gt;0,1,0)</f>
        <v>0</v>
      </c>
      <c r="I103" s="291">
        <f t="shared" si="22"/>
        <v>0</v>
      </c>
      <c r="J103" s="291">
        <f t="shared" si="22"/>
        <v>0</v>
      </c>
      <c r="K103" s="37"/>
      <c r="L103" s="34"/>
      <c r="M103" s="2"/>
      <c r="N103" s="8"/>
      <c r="O103" s="8"/>
      <c r="P103" s="8"/>
      <c r="Q103" s="8"/>
      <c r="R103" s="8"/>
      <c r="S103" s="8"/>
    </row>
    <row r="104" spans="2:19" s="6" customFormat="1" ht="18.95" customHeight="1">
      <c r="B104" s="325"/>
      <c r="C104" s="37"/>
      <c r="D104" s="34"/>
      <c r="E104" s="34"/>
      <c r="F104" s="34"/>
      <c r="G104" s="59" t="s">
        <v>212</v>
      </c>
      <c r="H104" s="59" t="s">
        <v>213</v>
      </c>
      <c r="I104" s="59" t="s">
        <v>214</v>
      </c>
      <c r="J104" s="59" t="s">
        <v>215</v>
      </c>
      <c r="K104" s="59" t="s">
        <v>0</v>
      </c>
      <c r="L104" s="34"/>
      <c r="M104" s="5">
        <f>VLOOKUP($N$3,'Tarif Vacances'!$D:$G,4,FALSE)</f>
        <v>75</v>
      </c>
      <c r="N104" s="2"/>
      <c r="O104" s="2"/>
      <c r="P104" s="2"/>
      <c r="Q104" s="2"/>
      <c r="R104" s="2"/>
      <c r="S104" s="2"/>
    </row>
    <row r="105" spans="2:19" ht="15.95" customHeight="1">
      <c r="B105" s="325"/>
      <c r="C105" s="34"/>
      <c r="D105" s="36" t="s">
        <v>1</v>
      </c>
      <c r="E105" s="34"/>
      <c r="F105" s="34"/>
      <c r="G105" s="34"/>
      <c r="H105" s="34"/>
      <c r="I105" s="34"/>
      <c r="J105" s="34"/>
      <c r="K105" s="34"/>
      <c r="L105" s="34"/>
      <c r="M105" s="2"/>
      <c r="N105" s="2"/>
      <c r="O105" s="2"/>
      <c r="P105" s="2"/>
      <c r="Q105" s="2"/>
      <c r="R105" s="2"/>
      <c r="S105" s="2"/>
    </row>
    <row r="106" spans="2:19" ht="24" customHeight="1">
      <c r="B106" s="325"/>
      <c r="C106" s="34"/>
      <c r="D106" s="88" t="s">
        <v>140</v>
      </c>
      <c r="E106" s="34"/>
      <c r="F106" s="243" t="s">
        <v>133</v>
      </c>
      <c r="G106" s="17"/>
      <c r="H106" s="17"/>
      <c r="I106" s="17"/>
      <c r="J106" s="17"/>
      <c r="K106" s="89">
        <f t="shared" ref="K106:K111" si="23">SUM(N106:Q106)</f>
        <v>0</v>
      </c>
      <c r="L106" s="34"/>
      <c r="M106" s="4" t="s">
        <v>120</v>
      </c>
      <c r="N106" s="2">
        <f t="shared" ref="N106:Q111" si="24">IF(G106="semaine complète",$M$104,0)</f>
        <v>0</v>
      </c>
      <c r="O106" s="2">
        <f t="shared" si="24"/>
        <v>0</v>
      </c>
      <c r="P106" s="2">
        <f t="shared" si="24"/>
        <v>0</v>
      </c>
      <c r="Q106" s="2">
        <f t="shared" si="24"/>
        <v>0</v>
      </c>
      <c r="R106" s="2"/>
      <c r="S106" s="2"/>
    </row>
    <row r="107" spans="2:19" ht="24" customHeight="1">
      <c r="B107" s="325"/>
      <c r="C107" s="34"/>
      <c r="D107" s="34"/>
      <c r="E107" s="34"/>
      <c r="F107" s="243" t="s">
        <v>134</v>
      </c>
      <c r="G107" s="17"/>
      <c r="H107" s="17"/>
      <c r="I107" s="17"/>
      <c r="J107" s="17"/>
      <c r="K107" s="89">
        <f t="shared" si="23"/>
        <v>0</v>
      </c>
      <c r="L107" s="34"/>
      <c r="M107" s="4" t="s">
        <v>121</v>
      </c>
      <c r="N107" s="2">
        <f t="shared" si="24"/>
        <v>0</v>
      </c>
      <c r="O107" s="2">
        <f t="shared" si="24"/>
        <v>0</v>
      </c>
      <c r="P107" s="2">
        <f t="shared" si="24"/>
        <v>0</v>
      </c>
      <c r="Q107" s="2">
        <f t="shared" si="24"/>
        <v>0</v>
      </c>
      <c r="R107" s="2"/>
      <c r="S107" s="2"/>
    </row>
    <row r="108" spans="2:19" ht="24" customHeight="1">
      <c r="B108" s="325"/>
      <c r="C108" s="34"/>
      <c r="D108" s="313" t="s">
        <v>253</v>
      </c>
      <c r="E108" s="34"/>
      <c r="F108" s="243" t="s">
        <v>136</v>
      </c>
      <c r="G108" s="17"/>
      <c r="H108" s="17"/>
      <c r="I108" s="17"/>
      <c r="J108" s="17"/>
      <c r="K108" s="89">
        <f t="shared" si="23"/>
        <v>0</v>
      </c>
      <c r="L108" s="34"/>
      <c r="M108" s="4" t="s">
        <v>122</v>
      </c>
      <c r="N108" s="2">
        <f t="shared" si="24"/>
        <v>0</v>
      </c>
      <c r="O108" s="2">
        <f t="shared" si="24"/>
        <v>0</v>
      </c>
      <c r="P108" s="2">
        <f t="shared" si="24"/>
        <v>0</v>
      </c>
      <c r="Q108" s="2">
        <f t="shared" si="24"/>
        <v>0</v>
      </c>
      <c r="R108" s="2"/>
      <c r="S108" s="2"/>
    </row>
    <row r="109" spans="2:19" ht="24" customHeight="1">
      <c r="B109" s="325"/>
      <c r="C109" s="34"/>
      <c r="D109" s="331" t="s">
        <v>246</v>
      </c>
      <c r="E109" s="34"/>
      <c r="F109" s="243" t="s">
        <v>138</v>
      </c>
      <c r="G109" s="17"/>
      <c r="H109" s="17"/>
      <c r="I109" s="17"/>
      <c r="J109" s="17"/>
      <c r="K109" s="89">
        <f t="shared" si="23"/>
        <v>0</v>
      </c>
      <c r="L109" s="34"/>
      <c r="M109" s="4" t="s">
        <v>123</v>
      </c>
      <c r="N109" s="2">
        <f t="shared" si="24"/>
        <v>0</v>
      </c>
      <c r="O109" s="2">
        <f t="shared" si="24"/>
        <v>0</v>
      </c>
      <c r="P109" s="2">
        <f t="shared" si="24"/>
        <v>0</v>
      </c>
      <c r="Q109" s="2">
        <f t="shared" si="24"/>
        <v>0</v>
      </c>
      <c r="R109" s="2"/>
      <c r="S109" s="2"/>
    </row>
    <row r="110" spans="2:19" ht="24" customHeight="1">
      <c r="B110" s="325"/>
      <c r="C110" s="34"/>
      <c r="D110" s="331"/>
      <c r="E110" s="34"/>
      <c r="F110" s="243" t="s">
        <v>139</v>
      </c>
      <c r="G110" s="17"/>
      <c r="H110" s="17"/>
      <c r="I110" s="17"/>
      <c r="J110" s="17"/>
      <c r="K110" s="89">
        <f t="shared" si="23"/>
        <v>0</v>
      </c>
      <c r="L110" s="34"/>
      <c r="M110" s="4" t="s">
        <v>124</v>
      </c>
      <c r="N110" s="2">
        <f t="shared" si="24"/>
        <v>0</v>
      </c>
      <c r="O110" s="2">
        <f t="shared" si="24"/>
        <v>0</v>
      </c>
      <c r="P110" s="2">
        <f t="shared" si="24"/>
        <v>0</v>
      </c>
      <c r="Q110" s="2">
        <f t="shared" si="24"/>
        <v>0</v>
      </c>
      <c r="R110" s="2"/>
      <c r="S110" s="2"/>
    </row>
    <row r="111" spans="2:19" ht="24" customHeight="1">
      <c r="B111" s="325"/>
      <c r="C111" s="34"/>
      <c r="D111" s="331"/>
      <c r="E111" s="34"/>
      <c r="F111" s="243" t="s">
        <v>135</v>
      </c>
      <c r="G111" s="17"/>
      <c r="H111" s="17"/>
      <c r="I111" s="17"/>
      <c r="J111" s="17"/>
      <c r="K111" s="89">
        <f t="shared" si="23"/>
        <v>0</v>
      </c>
      <c r="L111" s="34"/>
      <c r="M111" s="4" t="s">
        <v>125</v>
      </c>
      <c r="N111" s="2">
        <f t="shared" si="24"/>
        <v>0</v>
      </c>
      <c r="O111" s="2">
        <f t="shared" si="24"/>
        <v>0</v>
      </c>
      <c r="P111" s="2">
        <f t="shared" si="24"/>
        <v>0</v>
      </c>
      <c r="Q111" s="2">
        <f t="shared" si="24"/>
        <v>0</v>
      </c>
      <c r="R111" s="2"/>
      <c r="S111" s="2"/>
    </row>
    <row r="112" spans="2:19" ht="24" customHeight="1">
      <c r="B112" s="325"/>
      <c r="C112" s="34"/>
      <c r="D112" s="314"/>
      <c r="E112" s="34"/>
      <c r="F112" s="41"/>
      <c r="G112" s="34"/>
      <c r="H112" s="34"/>
      <c r="I112" s="34"/>
      <c r="J112" s="34"/>
      <c r="K112" s="34"/>
      <c r="L112" s="34"/>
      <c r="M112" s="2"/>
      <c r="N112" s="2"/>
      <c r="O112" s="2"/>
      <c r="P112" s="2"/>
      <c r="Q112" s="2"/>
      <c r="R112" s="2"/>
      <c r="S112" s="2"/>
    </row>
    <row r="113" spans="2:19" ht="24" customHeight="1">
      <c r="B113" s="325"/>
      <c r="C113" s="34"/>
      <c r="D113" s="315" t="s">
        <v>248</v>
      </c>
      <c r="E113" s="34"/>
      <c r="F113" s="41"/>
      <c r="G113" s="34"/>
      <c r="H113" s="34"/>
      <c r="I113" s="34"/>
      <c r="J113" s="34"/>
      <c r="K113" s="34"/>
      <c r="L113" s="34"/>
      <c r="M113" s="2"/>
      <c r="N113" s="2"/>
      <c r="O113" s="2"/>
      <c r="P113" s="2"/>
      <c r="Q113" s="2"/>
      <c r="R113" s="2"/>
      <c r="S113" s="2"/>
    </row>
    <row r="114" spans="2:19" ht="23.1" customHeight="1" thickBot="1">
      <c r="B114" s="325"/>
      <c r="C114" s="34"/>
      <c r="D114" s="34"/>
      <c r="E114" s="34"/>
      <c r="F114" s="34"/>
      <c r="G114" s="64"/>
      <c r="H114" s="64"/>
      <c r="I114" s="64"/>
      <c r="J114" s="64"/>
      <c r="K114" s="64"/>
      <c r="L114" s="34"/>
      <c r="M114" s="2"/>
      <c r="N114" s="2"/>
      <c r="O114" s="2"/>
      <c r="P114" s="2"/>
      <c r="Q114" s="2"/>
      <c r="R114" s="2"/>
      <c r="S114" s="2"/>
    </row>
    <row r="115" spans="2:19" ht="24" customHeight="1" thickBot="1">
      <c r="B115" s="325"/>
      <c r="C115" s="34"/>
      <c r="D115" s="48" t="s">
        <v>162</v>
      </c>
      <c r="E115" s="48"/>
      <c r="F115" s="48"/>
      <c r="G115" s="90">
        <f>SUM(N106:N111)</f>
        <v>0</v>
      </c>
      <c r="H115" s="90">
        <f>SUM(O106:O111)</f>
        <v>0</v>
      </c>
      <c r="I115" s="90">
        <f>SUM(P106:P111)</f>
        <v>0</v>
      </c>
      <c r="J115" s="90">
        <f>SUM(Q106:Q111)</f>
        <v>0</v>
      </c>
      <c r="K115" s="90">
        <f>SUM(K106:K111)</f>
        <v>0</v>
      </c>
      <c r="L115" s="34"/>
      <c r="M115" s="4"/>
      <c r="N115" s="4"/>
      <c r="O115" s="4"/>
      <c r="P115" s="4"/>
      <c r="Q115" s="4"/>
      <c r="R115" s="4"/>
      <c r="S115" s="4"/>
    </row>
    <row r="116" spans="2:19" ht="18.95" customHeight="1">
      <c r="B116" s="325"/>
      <c r="C116" s="34"/>
      <c r="D116" s="61" t="s">
        <v>137</v>
      </c>
      <c r="E116" s="62"/>
      <c r="L116" s="34"/>
      <c r="M116" s="4"/>
      <c r="N116" s="4"/>
      <c r="O116" s="4"/>
      <c r="P116" s="4"/>
      <c r="Q116" s="4"/>
      <c r="R116" s="4"/>
      <c r="S116" s="4"/>
    </row>
  </sheetData>
  <sheetProtection sheet="1" objects="1" scenarios="1"/>
  <mergeCells count="7">
    <mergeCell ref="B103:B116"/>
    <mergeCell ref="B4:B15"/>
    <mergeCell ref="B18:B50"/>
    <mergeCell ref="B2:L2"/>
    <mergeCell ref="B53:B66"/>
    <mergeCell ref="B69:B101"/>
    <mergeCell ref="D109:D111"/>
  </mergeCells>
  <phoneticPr fontId="7" type="noConversion"/>
  <hyperlinks>
    <hyperlink ref="D9" r:id="rId1" xr:uid="{6384BA49-4FC3-4E59-A415-2D9030806E86}"/>
    <hyperlink ref="D32" r:id="rId2" xr:uid="{C4E77A3D-72C8-2843-9041-621C35DBD2AB}"/>
    <hyperlink ref="D62" r:id="rId3" xr:uid="{6137DC92-C54A-4649-9D46-84758900125B}"/>
    <hyperlink ref="D94" r:id="rId4" xr:uid="{9CA49EC6-D1AC-9045-939A-CFC5B667EEC6}"/>
    <hyperlink ref="D113" r:id="rId5" xr:uid="{6A043DE1-7B2A-0B4E-9D2F-7985FBF157E0}"/>
  </hyperlinks>
  <pageMargins left="0.7" right="0.7" top="0.75" bottom="0.75" header="0.3" footer="0.3"/>
  <pageSetup paperSize="9" orientation="portrait" horizontalDpi="0" verticalDpi="0"/>
  <drawing r:id="rId6"/>
  <extLst>
    <ext xmlns:x14="http://schemas.microsoft.com/office/spreadsheetml/2009/9/main" uri="{CCE6A557-97BC-4b89-ADB6-D9C93CAAB3DF}">
      <x14:dataValidations xmlns:xm="http://schemas.microsoft.com/office/excel/2006/main" count="7">
        <x14:dataValidation type="list" allowBlank="1" showInputMessage="1" showErrorMessage="1" xr:uid="{FB59A29B-56CC-054C-B73F-E0F313699E18}">
          <x14:formula1>
            <xm:f>Data!$B$12:$B$13</xm:f>
          </x14:formula1>
          <xm:sqref>G106:J111</xm:sqref>
        </x14:dataValidation>
        <x14:dataValidation type="list" allowBlank="1" showInputMessage="1" showErrorMessage="1" xr:uid="{41D39B05-24C8-EC4C-9CF5-C1A215F4BF38}">
          <x14:formula1>
            <xm:f>Data!$B$4:$B$8</xm:f>
          </x14:formula1>
          <xm:sqref>G7:J11</xm:sqref>
        </x14:dataValidation>
        <x14:dataValidation type="list" allowBlank="1" showInputMessage="1" showErrorMessage="1" xr:uid="{1E3E1C4C-3096-D94A-8232-4D91EF1DD16F}">
          <x14:formula1>
            <xm:f>Data!$D$4:$D$7</xm:f>
          </x14:formula1>
          <xm:sqref>G58:J59 G61:J62</xm:sqref>
        </x14:dataValidation>
        <x14:dataValidation type="list" allowBlank="1" showInputMessage="1" showErrorMessage="1" xr:uid="{D6B6EC1A-629F-CE4A-B343-6548E17C95A9}">
          <x14:formula1>
            <xm:f>Data!$E$4:$E$5</xm:f>
          </x14:formula1>
          <xm:sqref>G27:J30 G22:J25 G32:J36 G38:J41 G43:J46</xm:sqref>
        </x14:dataValidation>
        <x14:dataValidation type="list" allowBlank="1" showInputMessage="1" showErrorMessage="1" xr:uid="{7EDCA328-3B50-6D49-832D-2136A97D6E84}">
          <x14:formula1>
            <xm:f>Data!$E$15:$E$16</xm:f>
          </x14:formula1>
          <xm:sqref>G73:J73</xm:sqref>
        </x14:dataValidation>
        <x14:dataValidation type="list" allowBlank="1" showInputMessage="1" showErrorMessage="1" xr:uid="{CD68641A-AB76-0F48-B66E-B6B7ED29B1EF}">
          <x14:formula1>
            <xm:f>Data!$F$16:$F$19</xm:f>
          </x14:formula1>
          <xm:sqref>G72:J72</xm:sqref>
        </x14:dataValidation>
        <x14:dataValidation type="list" allowBlank="1" showInputMessage="1" showErrorMessage="1" xr:uid="{C91E631C-63C4-1A4A-B3F0-3B1C19D56388}">
          <x14:formula1>
            <xm:f>Data!$F$4:$F$14</xm:f>
          </x14:formula1>
          <xm:sqref>G89:J89 G86:J86 G80:J80 G83:J83 G77:J77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6236B-3A83-1649-AA9E-E96305B4643B}">
  <dimension ref="B1:R32"/>
  <sheetViews>
    <sheetView showGridLines="0" workbookViewId="0">
      <selection activeCell="B2" sqref="B2:L2"/>
    </sheetView>
  </sheetViews>
  <sheetFormatPr baseColWidth="10" defaultRowHeight="15.75"/>
  <cols>
    <col min="1" max="1" width="2.125" customWidth="1"/>
  </cols>
  <sheetData>
    <row r="1" spans="2:18" ht="16.5" thickBot="1"/>
    <row r="2" spans="2:18" ht="39.75" thickTop="1">
      <c r="B2" s="155" t="s">
        <v>72</v>
      </c>
      <c r="C2" s="156"/>
      <c r="D2" s="156"/>
      <c r="E2" s="156"/>
      <c r="F2" s="156"/>
      <c r="G2" s="156"/>
      <c r="H2" s="156"/>
      <c r="I2" s="156"/>
      <c r="J2" s="156"/>
      <c r="K2" s="156"/>
      <c r="L2" s="156"/>
      <c r="M2" s="156"/>
      <c r="N2" s="156"/>
      <c r="O2" s="156"/>
      <c r="P2" s="156"/>
      <c r="Q2" s="156"/>
      <c r="R2" s="157"/>
    </row>
    <row r="3" spans="2:18" ht="173.25">
      <c r="B3" s="91" t="s">
        <v>73</v>
      </c>
      <c r="C3" s="332" t="s">
        <v>74</v>
      </c>
      <c r="D3" s="332"/>
      <c r="E3" s="92" t="s">
        <v>75</v>
      </c>
      <c r="F3" s="93" t="s">
        <v>76</v>
      </c>
      <c r="G3" s="94" t="s">
        <v>77</v>
      </c>
      <c r="H3" s="95" t="s">
        <v>78</v>
      </c>
      <c r="I3" s="94" t="s">
        <v>79</v>
      </c>
      <c r="J3" s="95" t="s">
        <v>80</v>
      </c>
      <c r="K3" s="96" t="s">
        <v>81</v>
      </c>
      <c r="L3" s="97" t="s">
        <v>82</v>
      </c>
      <c r="M3" s="96" t="s">
        <v>83</v>
      </c>
      <c r="N3" s="95" t="s">
        <v>84</v>
      </c>
      <c r="O3" s="98" t="s">
        <v>85</v>
      </c>
      <c r="P3" s="99" t="s">
        <v>86</v>
      </c>
      <c r="Q3" s="100" t="s">
        <v>87</v>
      </c>
      <c r="R3" s="101" t="s">
        <v>88</v>
      </c>
    </row>
    <row r="4" spans="2:18" ht="42">
      <c r="B4" s="102"/>
      <c r="C4" s="103" t="s">
        <v>89</v>
      </c>
      <c r="D4" s="103" t="s">
        <v>90</v>
      </c>
      <c r="E4" s="104"/>
      <c r="F4" s="105" t="s">
        <v>91</v>
      </c>
      <c r="G4" s="106"/>
      <c r="H4" s="107" t="s">
        <v>91</v>
      </c>
      <c r="I4" s="108"/>
      <c r="J4" s="107" t="s">
        <v>91</v>
      </c>
      <c r="K4" s="109"/>
      <c r="L4" s="107" t="s">
        <v>91</v>
      </c>
      <c r="M4" s="110"/>
      <c r="N4" s="111" t="s">
        <v>91</v>
      </c>
      <c r="O4" s="112"/>
      <c r="P4" s="113"/>
      <c r="Q4" s="114"/>
      <c r="R4" s="115"/>
    </row>
    <row r="5" spans="2:18" ht="18.75">
      <c r="B5" s="116">
        <v>1</v>
      </c>
      <c r="C5" s="117">
        <v>0</v>
      </c>
      <c r="D5" s="117">
        <v>3000</v>
      </c>
      <c r="E5" s="118">
        <v>21.84</v>
      </c>
      <c r="F5" s="119">
        <v>21.85</v>
      </c>
      <c r="G5" s="120">
        <v>93.361770657672864</v>
      </c>
      <c r="H5" s="121">
        <v>93.350000000000009</v>
      </c>
      <c r="I5" s="120">
        <v>39.425801011804381</v>
      </c>
      <c r="J5" s="122">
        <v>39.450000000000003</v>
      </c>
      <c r="K5" s="120">
        <v>58.099629005059022</v>
      </c>
      <c r="L5" s="122">
        <v>58.1</v>
      </c>
      <c r="M5" s="123">
        <v>37.347655986509274</v>
      </c>
      <c r="N5" s="124">
        <v>37.35</v>
      </c>
      <c r="O5" s="125">
        <v>0.14738617200674536</v>
      </c>
      <c r="P5" s="126">
        <v>0.85261382799325469</v>
      </c>
      <c r="Q5" s="127">
        <v>1</v>
      </c>
      <c r="R5" s="128">
        <v>-0.2</v>
      </c>
    </row>
    <row r="6" spans="2:18" ht="18.75">
      <c r="B6" s="116">
        <v>2</v>
      </c>
      <c r="C6" s="129">
        <v>3000</v>
      </c>
      <c r="D6" s="129">
        <v>3360</v>
      </c>
      <c r="E6" s="118">
        <v>25.059964411581703</v>
      </c>
      <c r="F6" s="119">
        <v>25.05</v>
      </c>
      <c r="G6" s="120">
        <v>107.03489038785835</v>
      </c>
      <c r="H6" s="121">
        <v>107.05000000000001</v>
      </c>
      <c r="I6" s="120">
        <v>45.199831365935914</v>
      </c>
      <c r="J6" s="122">
        <v>45.2</v>
      </c>
      <c r="K6" s="120">
        <v>66.60849915682968</v>
      </c>
      <c r="L6" s="122">
        <v>66.600000000000009</v>
      </c>
      <c r="M6" s="123">
        <v>42.817335581787518</v>
      </c>
      <c r="N6" s="124">
        <v>42.800000000000004</v>
      </c>
      <c r="O6" s="125">
        <v>0.16897133220910623</v>
      </c>
      <c r="P6" s="126">
        <v>0.83102866779089379</v>
      </c>
      <c r="Q6" s="127">
        <v>1</v>
      </c>
      <c r="R6" s="128">
        <v>-0.2</v>
      </c>
    </row>
    <row r="7" spans="2:18" ht="18.75">
      <c r="B7" s="116">
        <v>3</v>
      </c>
      <c r="C7" s="129">
        <v>3361</v>
      </c>
      <c r="D7" s="129">
        <v>3720</v>
      </c>
      <c r="E7" s="118">
        <v>28.386142992527144</v>
      </c>
      <c r="F7" s="119">
        <v>28.400000000000002</v>
      </c>
      <c r="G7" s="120">
        <v>121.34893760539632</v>
      </c>
      <c r="H7" s="121">
        <v>121.35000000000001</v>
      </c>
      <c r="I7" s="120">
        <v>51.244519392917375</v>
      </c>
      <c r="J7" s="122">
        <v>51.25</v>
      </c>
      <c r="K7" s="120">
        <v>75.516222596964596</v>
      </c>
      <c r="L7" s="122">
        <v>75.5</v>
      </c>
      <c r="M7" s="123">
        <v>48.543406408094441</v>
      </c>
      <c r="N7" s="124">
        <v>48.550000000000004</v>
      </c>
      <c r="O7" s="125">
        <v>0.1915682967959528</v>
      </c>
      <c r="P7" s="126">
        <v>0.80843170320404723</v>
      </c>
      <c r="Q7" s="127">
        <v>1</v>
      </c>
      <c r="R7" s="128">
        <v>-0.2</v>
      </c>
    </row>
    <row r="8" spans="2:18" ht="18.75">
      <c r="B8" s="116">
        <v>4</v>
      </c>
      <c r="C8" s="129">
        <v>3721</v>
      </c>
      <c r="D8" s="129">
        <v>4080</v>
      </c>
      <c r="E8" s="118">
        <v>31.821271233746913</v>
      </c>
      <c r="F8" s="119">
        <v>31.8</v>
      </c>
      <c r="G8" s="120">
        <v>135.87662731871839</v>
      </c>
      <c r="H8" s="121">
        <v>135.9</v>
      </c>
      <c r="I8" s="120">
        <v>57.379426644182125</v>
      </c>
      <c r="J8" s="122">
        <v>57.400000000000006</v>
      </c>
      <c r="K8" s="120">
        <v>84.556897133220914</v>
      </c>
      <c r="L8" s="122">
        <v>84.550000000000011</v>
      </c>
      <c r="M8" s="123">
        <v>54.354940978077572</v>
      </c>
      <c r="N8" s="124">
        <v>54.35</v>
      </c>
      <c r="O8" s="125">
        <v>0.21450252951096122</v>
      </c>
      <c r="P8" s="126">
        <v>0.78549747048903873</v>
      </c>
      <c r="Q8" s="127">
        <v>1</v>
      </c>
      <c r="R8" s="128">
        <v>-0.2</v>
      </c>
    </row>
    <row r="9" spans="2:18" ht="18.75">
      <c r="B9" s="116">
        <v>5</v>
      </c>
      <c r="C9" s="129">
        <v>4081</v>
      </c>
      <c r="D9" s="129">
        <v>4440</v>
      </c>
      <c r="E9" s="118">
        <v>35.368147382821604</v>
      </c>
      <c r="F9" s="119">
        <v>35.35</v>
      </c>
      <c r="G9" s="120">
        <v>151.04524451939292</v>
      </c>
      <c r="H9" s="121">
        <v>151.05000000000001</v>
      </c>
      <c r="I9" s="120">
        <v>63.784991568296803</v>
      </c>
      <c r="J9" s="122">
        <v>63.800000000000004</v>
      </c>
      <c r="K9" s="120">
        <v>93.996424957841484</v>
      </c>
      <c r="L9" s="122">
        <v>94</v>
      </c>
      <c r="M9" s="123">
        <v>60.422866779089382</v>
      </c>
      <c r="N9" s="124">
        <v>60.400000000000006</v>
      </c>
      <c r="O9" s="125">
        <v>0.23844856661045533</v>
      </c>
      <c r="P9" s="126">
        <v>0.76155143338954467</v>
      </c>
      <c r="Q9" s="127">
        <v>1</v>
      </c>
      <c r="R9" s="128">
        <v>-0.2</v>
      </c>
    </row>
    <row r="10" spans="2:18" ht="18.75">
      <c r="B10" s="116">
        <v>6</v>
      </c>
      <c r="C10" s="130">
        <v>4441</v>
      </c>
      <c r="D10" s="130">
        <v>4800</v>
      </c>
      <c r="E10" s="118">
        <v>39.029634324265018</v>
      </c>
      <c r="F10" s="119">
        <v>39.050000000000004</v>
      </c>
      <c r="G10" s="120">
        <v>166.85478920741994</v>
      </c>
      <c r="H10" s="121">
        <v>166.85000000000002</v>
      </c>
      <c r="I10" s="120">
        <v>70.461214165261396</v>
      </c>
      <c r="J10" s="122">
        <v>70.45</v>
      </c>
      <c r="K10" s="120">
        <v>103.83480607082632</v>
      </c>
      <c r="L10" s="122">
        <v>103.85000000000001</v>
      </c>
      <c r="M10" s="123">
        <v>66.747183811129858</v>
      </c>
      <c r="N10" s="124">
        <v>66.75</v>
      </c>
      <c r="O10" s="125">
        <v>0.26340640809443511</v>
      </c>
      <c r="P10" s="126">
        <v>0.73659359190556484</v>
      </c>
      <c r="Q10" s="127">
        <v>1</v>
      </c>
      <c r="R10" s="128">
        <v>-0.2</v>
      </c>
    </row>
    <row r="11" spans="2:18" ht="18.75">
      <c r="B11" s="116">
        <v>7</v>
      </c>
      <c r="C11" s="129">
        <v>4801</v>
      </c>
      <c r="D11" s="129">
        <v>5160</v>
      </c>
      <c r="E11" s="118">
        <v>42.808660985978698</v>
      </c>
      <c r="F11" s="119">
        <v>42.800000000000004</v>
      </c>
      <c r="G11" s="120">
        <v>182.87797639123107</v>
      </c>
      <c r="H11" s="121">
        <v>182.9</v>
      </c>
      <c r="I11" s="120">
        <v>77.227655986509276</v>
      </c>
      <c r="J11" s="122">
        <v>77.25</v>
      </c>
      <c r="K11" s="120">
        <v>113.80613827993255</v>
      </c>
      <c r="L11" s="122">
        <v>113.80000000000001</v>
      </c>
      <c r="M11" s="123">
        <v>73.156964586846556</v>
      </c>
      <c r="N11" s="124">
        <v>73.150000000000006</v>
      </c>
      <c r="O11" s="125">
        <v>0.28870151770657676</v>
      </c>
      <c r="P11" s="126">
        <v>0.71129848229342318</v>
      </c>
      <c r="Q11" s="127">
        <v>1</v>
      </c>
      <c r="R11" s="128">
        <v>-0.2</v>
      </c>
    </row>
    <row r="12" spans="2:18" ht="18.75">
      <c r="B12" s="116">
        <v>8</v>
      </c>
      <c r="C12" s="129">
        <v>5161</v>
      </c>
      <c r="D12" s="129">
        <v>5520</v>
      </c>
      <c r="E12" s="118">
        <v>46.708223775157109</v>
      </c>
      <c r="F12" s="119">
        <v>46.7</v>
      </c>
      <c r="G12" s="120">
        <v>199.54209106239463</v>
      </c>
      <c r="H12" s="121">
        <v>199.55</v>
      </c>
      <c r="I12" s="120">
        <v>84.264755480607093</v>
      </c>
      <c r="J12" s="122">
        <v>84.25</v>
      </c>
      <c r="K12" s="120">
        <v>124.17632377740304</v>
      </c>
      <c r="L12" s="122">
        <v>124.2</v>
      </c>
      <c r="M12" s="123">
        <v>79.823136593591911</v>
      </c>
      <c r="N12" s="124">
        <v>79.800000000000011</v>
      </c>
      <c r="O12" s="125">
        <v>0.31500843170320408</v>
      </c>
      <c r="P12" s="126">
        <v>0.68499156829679597</v>
      </c>
      <c r="Q12" s="127">
        <v>1</v>
      </c>
      <c r="R12" s="128">
        <v>-0.2</v>
      </c>
    </row>
    <row r="13" spans="2:18" ht="18.75">
      <c r="B13" s="116">
        <v>9</v>
      </c>
      <c r="C13" s="129">
        <v>5521</v>
      </c>
      <c r="D13" s="129">
        <v>5880</v>
      </c>
      <c r="E13" s="118">
        <v>50.731388044243879</v>
      </c>
      <c r="F13" s="119">
        <v>50.75</v>
      </c>
      <c r="G13" s="120">
        <v>216.84713322091062</v>
      </c>
      <c r="H13" s="121">
        <v>216.85000000000002</v>
      </c>
      <c r="I13" s="120">
        <v>91.572512647554802</v>
      </c>
      <c r="J13" s="122">
        <v>91.550000000000011</v>
      </c>
      <c r="K13" s="120">
        <v>134.94536256323778</v>
      </c>
      <c r="L13" s="122">
        <v>134.95000000000002</v>
      </c>
      <c r="M13" s="123">
        <v>86.74569983136594</v>
      </c>
      <c r="N13" s="124">
        <v>86.75</v>
      </c>
      <c r="O13" s="125">
        <v>0.34232715008431702</v>
      </c>
      <c r="P13" s="126">
        <v>0.65767284991568298</v>
      </c>
      <c r="Q13" s="127">
        <v>1</v>
      </c>
      <c r="R13" s="128">
        <v>-0.2</v>
      </c>
    </row>
    <row r="14" spans="2:18" ht="18.75">
      <c r="B14" s="116">
        <v>10</v>
      </c>
      <c r="C14" s="129">
        <v>5881</v>
      </c>
      <c r="D14" s="129">
        <v>6240</v>
      </c>
      <c r="E14" s="118">
        <v>54.881289587551244</v>
      </c>
      <c r="F14" s="119">
        <v>54.900000000000006</v>
      </c>
      <c r="G14" s="120">
        <v>234.57946037099498</v>
      </c>
      <c r="H14" s="121">
        <v>234.60000000000002</v>
      </c>
      <c r="I14" s="120">
        <v>99.060708263069145</v>
      </c>
      <c r="J14" s="122">
        <v>99.050000000000011</v>
      </c>
      <c r="K14" s="120">
        <v>145.98030354131535</v>
      </c>
      <c r="L14" s="122">
        <v>146</v>
      </c>
      <c r="M14" s="123">
        <v>93.839190556492426</v>
      </c>
      <c r="N14" s="124">
        <v>93.850000000000009</v>
      </c>
      <c r="O14" s="125">
        <v>0.37032040472175382</v>
      </c>
      <c r="P14" s="126">
        <v>0.62967959527824613</v>
      </c>
      <c r="Q14" s="127">
        <v>1</v>
      </c>
      <c r="R14" s="128">
        <v>-0.2</v>
      </c>
    </row>
    <row r="15" spans="2:18" ht="18.75">
      <c r="B15" s="116">
        <v>11</v>
      </c>
      <c r="C15" s="129">
        <v>6241</v>
      </c>
      <c r="D15" s="129">
        <v>6600</v>
      </c>
      <c r="E15" s="118">
        <v>59.161136169167683</v>
      </c>
      <c r="F15" s="119">
        <v>59.150000000000006</v>
      </c>
      <c r="G15" s="120">
        <v>252.7390725126476</v>
      </c>
      <c r="H15" s="121">
        <v>252.75</v>
      </c>
      <c r="I15" s="120">
        <v>106.72934232715009</v>
      </c>
      <c r="J15" s="122">
        <v>106.75</v>
      </c>
      <c r="K15" s="120">
        <v>157.28114671163576</v>
      </c>
      <c r="L15" s="122">
        <v>157.30000000000001</v>
      </c>
      <c r="M15" s="123">
        <v>101.10360876897134</v>
      </c>
      <c r="N15" s="124">
        <v>101.10000000000001</v>
      </c>
      <c r="O15" s="125">
        <v>0.39898819561551435</v>
      </c>
      <c r="P15" s="126">
        <v>0.60101180438448565</v>
      </c>
      <c r="Q15" s="127">
        <v>1</v>
      </c>
      <c r="R15" s="128">
        <v>-0.2</v>
      </c>
    </row>
    <row r="16" spans="2:18" ht="18.75">
      <c r="B16" s="116">
        <v>12</v>
      </c>
      <c r="C16" s="129">
        <v>6601</v>
      </c>
      <c r="D16" s="129">
        <v>6960</v>
      </c>
      <c r="E16" s="118">
        <v>63.574209082790603</v>
      </c>
      <c r="F16" s="119">
        <v>63.550000000000004</v>
      </c>
      <c r="G16" s="120">
        <v>271.53961214165264</v>
      </c>
      <c r="H16" s="121">
        <v>271.55</v>
      </c>
      <c r="I16" s="120">
        <v>114.66863406408095</v>
      </c>
      <c r="J16" s="122">
        <v>114.65</v>
      </c>
      <c r="K16" s="120">
        <v>168.98084317032041</v>
      </c>
      <c r="L16" s="122">
        <v>169</v>
      </c>
      <c r="M16" s="123">
        <v>108.62441821247893</v>
      </c>
      <c r="N16" s="124">
        <v>108.60000000000001</v>
      </c>
      <c r="O16" s="125">
        <v>0.42866779089376056</v>
      </c>
      <c r="P16" s="126">
        <v>0.57133220910623939</v>
      </c>
      <c r="Q16" s="127">
        <v>1</v>
      </c>
      <c r="R16" s="128">
        <v>-0.2</v>
      </c>
    </row>
    <row r="17" spans="2:18" ht="18.75">
      <c r="B17" s="116">
        <v>13</v>
      </c>
      <c r="C17" s="129">
        <v>6961</v>
      </c>
      <c r="D17" s="129">
        <v>7320</v>
      </c>
      <c r="E17" s="118">
        <v>68.123864744133925</v>
      </c>
      <c r="F17" s="119">
        <v>68.100000000000009</v>
      </c>
      <c r="G17" s="120">
        <v>290.9810792580102</v>
      </c>
      <c r="H17" s="121">
        <v>291</v>
      </c>
      <c r="I17" s="120">
        <v>122.87858347386174</v>
      </c>
      <c r="J17" s="122">
        <v>122.9</v>
      </c>
      <c r="K17" s="120">
        <v>181.07939291736935</v>
      </c>
      <c r="L17" s="122">
        <v>181.10000000000002</v>
      </c>
      <c r="M17" s="123">
        <v>116.4016188870152</v>
      </c>
      <c r="N17" s="124">
        <v>116.4</v>
      </c>
      <c r="O17" s="125">
        <v>0.45935919055649249</v>
      </c>
      <c r="P17" s="126">
        <v>0.54064080944350756</v>
      </c>
      <c r="Q17" s="127">
        <v>1</v>
      </c>
      <c r="R17" s="128">
        <v>-0.2</v>
      </c>
    </row>
    <row r="18" spans="2:18" ht="18.75">
      <c r="B18" s="116">
        <v>14</v>
      </c>
      <c r="C18" s="129">
        <v>7321</v>
      </c>
      <c r="D18" s="129">
        <v>7680</v>
      </c>
      <c r="E18" s="118">
        <v>72.813536316573561</v>
      </c>
      <c r="F18" s="119">
        <v>72.8</v>
      </c>
      <c r="G18" s="120">
        <v>311.06347386172007</v>
      </c>
      <c r="H18" s="121">
        <v>311.05</v>
      </c>
      <c r="I18" s="120">
        <v>131.35919055649239</v>
      </c>
      <c r="J18" s="122">
        <v>131.35</v>
      </c>
      <c r="K18" s="120">
        <v>193.57679595278245</v>
      </c>
      <c r="L18" s="122">
        <v>193.60000000000002</v>
      </c>
      <c r="M18" s="123">
        <v>124.43521079258009</v>
      </c>
      <c r="N18" s="124">
        <v>124.45</v>
      </c>
      <c r="O18" s="125">
        <v>0.49106239460370993</v>
      </c>
      <c r="P18" s="126">
        <v>0.50893760539629007</v>
      </c>
      <c r="Q18" s="127">
        <v>1</v>
      </c>
      <c r="R18" s="128">
        <v>-0.2</v>
      </c>
    </row>
    <row r="19" spans="2:18" ht="18.75">
      <c r="B19" s="116">
        <v>15</v>
      </c>
      <c r="C19" s="129">
        <v>7681</v>
      </c>
      <c r="D19" s="129">
        <v>8040</v>
      </c>
      <c r="E19" s="118">
        <v>77.646735370706423</v>
      </c>
      <c r="F19" s="119">
        <v>77.650000000000006</v>
      </c>
      <c r="G19" s="120">
        <v>331.78679595278254</v>
      </c>
      <c r="H19" s="121">
        <v>331.8</v>
      </c>
      <c r="I19" s="120">
        <v>140.11045531197303</v>
      </c>
      <c r="J19" s="122">
        <v>140.1</v>
      </c>
      <c r="K19" s="120">
        <v>206.47305227655988</v>
      </c>
      <c r="L19" s="122">
        <v>206.45000000000002</v>
      </c>
      <c r="M19" s="123">
        <v>132.72519392917371</v>
      </c>
      <c r="N19" s="124">
        <v>132.75</v>
      </c>
      <c r="O19" s="125">
        <v>0.5237774030354132</v>
      </c>
      <c r="P19" s="126">
        <v>0.4762225969645868</v>
      </c>
      <c r="Q19" s="127">
        <v>1</v>
      </c>
      <c r="R19" s="128">
        <v>-0.2</v>
      </c>
    </row>
    <row r="20" spans="2:18" ht="18.75">
      <c r="B20" s="116">
        <v>16</v>
      </c>
      <c r="C20" s="129">
        <v>8041</v>
      </c>
      <c r="D20" s="129">
        <v>8400</v>
      </c>
      <c r="E20" s="118">
        <v>82.627053578513099</v>
      </c>
      <c r="F20" s="119">
        <v>82.65</v>
      </c>
      <c r="G20" s="120">
        <v>353.15104553119733</v>
      </c>
      <c r="H20" s="121">
        <v>353.15000000000003</v>
      </c>
      <c r="I20" s="120">
        <v>149.13237774030355</v>
      </c>
      <c r="J20" s="122">
        <v>149.15</v>
      </c>
      <c r="K20" s="120">
        <v>219.76816188870151</v>
      </c>
      <c r="L20" s="122">
        <v>219.75</v>
      </c>
      <c r="M20" s="123">
        <v>141.27156829679595</v>
      </c>
      <c r="N20" s="124">
        <v>141.25</v>
      </c>
      <c r="O20" s="125">
        <v>0.55750421585160204</v>
      </c>
      <c r="P20" s="126">
        <v>0.44249578414839796</v>
      </c>
      <c r="Q20" s="127">
        <v>1</v>
      </c>
      <c r="R20" s="128">
        <v>-0.2</v>
      </c>
    </row>
    <row r="21" spans="2:18" ht="18.75">
      <c r="B21" s="116">
        <v>17</v>
      </c>
      <c r="C21" s="129">
        <v>8401</v>
      </c>
      <c r="D21" s="129">
        <v>8760</v>
      </c>
      <c r="E21" s="118">
        <v>87.758164442826654</v>
      </c>
      <c r="F21" s="119">
        <v>87.75</v>
      </c>
      <c r="G21" s="120">
        <v>374.94258010118051</v>
      </c>
      <c r="H21" s="121">
        <v>374.95000000000005</v>
      </c>
      <c r="I21" s="120">
        <v>158.33473861720068</v>
      </c>
      <c r="J21" s="122">
        <v>158.35000000000002</v>
      </c>
      <c r="K21" s="120">
        <v>233.32917369308601</v>
      </c>
      <c r="L21" s="122">
        <v>233.35000000000002</v>
      </c>
      <c r="M21" s="123">
        <v>149.98887015177067</v>
      </c>
      <c r="N21" s="124">
        <v>150</v>
      </c>
      <c r="O21" s="125">
        <v>0.59190556492411472</v>
      </c>
      <c r="P21" s="126">
        <v>0.40809443507588528</v>
      </c>
      <c r="Q21" s="127">
        <v>1</v>
      </c>
      <c r="R21" s="128">
        <v>-0.2</v>
      </c>
    </row>
    <row r="22" spans="2:18" ht="18.75">
      <c r="B22" s="116">
        <v>18</v>
      </c>
      <c r="C22" s="129">
        <v>8761</v>
      </c>
      <c r="D22" s="129">
        <v>9120</v>
      </c>
      <c r="E22" s="118">
        <v>93.043825062825761</v>
      </c>
      <c r="F22" s="119">
        <v>93.050000000000011</v>
      </c>
      <c r="G22" s="120">
        <v>397.58868465430021</v>
      </c>
      <c r="H22" s="121">
        <v>397.6</v>
      </c>
      <c r="I22" s="120">
        <v>167.89797639123103</v>
      </c>
      <c r="J22" s="122">
        <v>167.9</v>
      </c>
      <c r="K22" s="120">
        <v>247.42198988195616</v>
      </c>
      <c r="L22" s="122">
        <v>247.4</v>
      </c>
      <c r="M22" s="123">
        <v>159.04802698145025</v>
      </c>
      <c r="N22" s="124">
        <v>159.05000000000001</v>
      </c>
      <c r="O22" s="125">
        <v>0.6276559865092749</v>
      </c>
      <c r="P22" s="126">
        <v>0.3723440134907251</v>
      </c>
      <c r="Q22" s="127">
        <v>1</v>
      </c>
      <c r="R22" s="128">
        <v>-0.2</v>
      </c>
    </row>
    <row r="23" spans="2:18" ht="18.75">
      <c r="B23" s="116">
        <v>19</v>
      </c>
      <c r="C23" s="129">
        <v>9121</v>
      </c>
      <c r="D23" s="129">
        <v>9480</v>
      </c>
      <c r="E23" s="118">
        <v>98.487877936282999</v>
      </c>
      <c r="F23" s="119">
        <v>98.5</v>
      </c>
      <c r="G23" s="120">
        <v>420.87571669477239</v>
      </c>
      <c r="H23" s="121">
        <v>420.90000000000003</v>
      </c>
      <c r="I23" s="120">
        <v>177.73187183811129</v>
      </c>
      <c r="J23" s="122">
        <v>177.75</v>
      </c>
      <c r="K23" s="120">
        <v>261.91365935919055</v>
      </c>
      <c r="L23" s="122">
        <v>261.90000000000003</v>
      </c>
      <c r="M23" s="123">
        <v>168.36357504215852</v>
      </c>
      <c r="N23" s="124">
        <v>168.35000000000002</v>
      </c>
      <c r="O23" s="125">
        <v>0.66441821247892074</v>
      </c>
      <c r="P23" s="126">
        <v>0.33558178752107926</v>
      </c>
      <c r="Q23" s="127">
        <v>1</v>
      </c>
      <c r="R23" s="128">
        <v>-0.2</v>
      </c>
    </row>
    <row r="24" spans="2:18" ht="18.75">
      <c r="B24" s="116">
        <v>20</v>
      </c>
      <c r="C24" s="129">
        <v>9481</v>
      </c>
      <c r="D24" s="129">
        <v>9840</v>
      </c>
      <c r="E24" s="118">
        <v>104.0942527993149</v>
      </c>
      <c r="F24" s="119">
        <v>104.10000000000001</v>
      </c>
      <c r="G24" s="120">
        <v>444.80367622259706</v>
      </c>
      <c r="H24" s="121">
        <v>444.8</v>
      </c>
      <c r="I24" s="120">
        <v>187.8364249578415</v>
      </c>
      <c r="J24" s="122">
        <v>187.85000000000002</v>
      </c>
      <c r="K24" s="120">
        <v>276.80418212478924</v>
      </c>
      <c r="L24" s="122">
        <v>276.8</v>
      </c>
      <c r="M24" s="123">
        <v>177.93551433389547</v>
      </c>
      <c r="N24" s="124">
        <v>177.95000000000002</v>
      </c>
      <c r="O24" s="125">
        <v>0.70219224283305237</v>
      </c>
      <c r="P24" s="126">
        <v>0.29780775716694763</v>
      </c>
      <c r="Q24" s="127">
        <v>1</v>
      </c>
      <c r="R24" s="128">
        <v>-0.2</v>
      </c>
    </row>
    <row r="25" spans="2:18" ht="18.75">
      <c r="B25" s="116">
        <v>21</v>
      </c>
      <c r="C25" s="129">
        <v>9841</v>
      </c>
      <c r="D25" s="129">
        <v>10200</v>
      </c>
      <c r="E25" s="118">
        <v>109.86696850439471</v>
      </c>
      <c r="F25" s="119">
        <v>109.85000000000001</v>
      </c>
      <c r="G25" s="120">
        <v>469.3725632377741</v>
      </c>
      <c r="H25" s="121">
        <v>469.35</v>
      </c>
      <c r="I25" s="120">
        <v>198.21163575042161</v>
      </c>
      <c r="J25" s="122">
        <v>198.20000000000002</v>
      </c>
      <c r="K25" s="120">
        <v>292.09355817875212</v>
      </c>
      <c r="L25" s="122">
        <v>292.10000000000002</v>
      </c>
      <c r="M25" s="123">
        <v>187.76384485666108</v>
      </c>
      <c r="N25" s="124">
        <v>187.75</v>
      </c>
      <c r="O25" s="125">
        <v>0.74097807757166956</v>
      </c>
      <c r="P25" s="126">
        <v>0.25902192242833044</v>
      </c>
      <c r="Q25" s="127">
        <v>1</v>
      </c>
      <c r="R25" s="128">
        <v>-0.2</v>
      </c>
    </row>
    <row r="26" spans="2:18" ht="18.75">
      <c r="B26" s="116">
        <v>22</v>
      </c>
      <c r="C26" s="129">
        <v>10201</v>
      </c>
      <c r="D26" s="129">
        <v>10560</v>
      </c>
      <c r="E26" s="118">
        <v>115.81013493740393</v>
      </c>
      <c r="F26" s="119">
        <v>115.80000000000001</v>
      </c>
      <c r="G26" s="120">
        <v>494.79602023608777</v>
      </c>
      <c r="H26" s="121">
        <v>494.8</v>
      </c>
      <c r="I26" s="120">
        <v>208.94772344013495</v>
      </c>
      <c r="J26" s="122">
        <v>208.95000000000002</v>
      </c>
      <c r="K26" s="120">
        <v>307.91473861720073</v>
      </c>
      <c r="L26" s="122">
        <v>307.90000000000003</v>
      </c>
      <c r="M26" s="123">
        <v>197.93403035413158</v>
      </c>
      <c r="N26" s="124">
        <v>197.95000000000002</v>
      </c>
      <c r="O26" s="125">
        <v>0.78111298482293434</v>
      </c>
      <c r="P26" s="126">
        <v>0.21888701517706566</v>
      </c>
      <c r="Q26" s="127">
        <v>1</v>
      </c>
      <c r="R26" s="128">
        <v>-0.2</v>
      </c>
    </row>
    <row r="27" spans="2:18" ht="18.75">
      <c r="B27" s="116">
        <v>23</v>
      </c>
      <c r="C27" s="129">
        <v>10561</v>
      </c>
      <c r="D27" s="129">
        <v>10920</v>
      </c>
      <c r="E27" s="118">
        <v>121.92795497451475</v>
      </c>
      <c r="F27" s="119">
        <v>121.95</v>
      </c>
      <c r="G27" s="120">
        <v>521.07404721753801</v>
      </c>
      <c r="H27" s="121">
        <v>521.05000000000007</v>
      </c>
      <c r="I27" s="120">
        <v>220.04468802698148</v>
      </c>
      <c r="J27" s="122">
        <v>220.05</v>
      </c>
      <c r="K27" s="120">
        <v>324.26772344013494</v>
      </c>
      <c r="L27" s="122">
        <v>324.25</v>
      </c>
      <c r="M27" s="123">
        <v>208.44607082630694</v>
      </c>
      <c r="N27" s="124">
        <v>208.45000000000002</v>
      </c>
      <c r="O27" s="125">
        <v>0.82259696458684661</v>
      </c>
      <c r="P27" s="126">
        <v>0.17740303541315339</v>
      </c>
      <c r="Q27" s="127">
        <v>1</v>
      </c>
      <c r="R27" s="128">
        <v>-0.2</v>
      </c>
    </row>
    <row r="28" spans="2:18" ht="18.75">
      <c r="B28" s="116">
        <v>24</v>
      </c>
      <c r="C28" s="129">
        <v>10921</v>
      </c>
      <c r="D28" s="129">
        <v>11280</v>
      </c>
      <c r="E28" s="118">
        <v>128.22472647971003</v>
      </c>
      <c r="F28" s="119">
        <v>128.20000000000002</v>
      </c>
      <c r="G28" s="120">
        <v>547.77935919055665</v>
      </c>
      <c r="H28" s="121">
        <v>547.80000000000007</v>
      </c>
      <c r="I28" s="120">
        <v>231.32209106239463</v>
      </c>
      <c r="J28" s="122">
        <v>231.3</v>
      </c>
      <c r="K28" s="120">
        <v>340.886610455312</v>
      </c>
      <c r="L28" s="122">
        <v>340.90000000000003</v>
      </c>
      <c r="M28" s="123">
        <v>219.12903878583478</v>
      </c>
      <c r="N28" s="124">
        <v>219.15</v>
      </c>
      <c r="O28" s="125">
        <v>0.86475548060708274</v>
      </c>
      <c r="P28" s="126">
        <v>0.13524451939291726</v>
      </c>
      <c r="Q28" s="127">
        <v>1</v>
      </c>
      <c r="R28" s="128">
        <v>-0.2</v>
      </c>
    </row>
    <row r="29" spans="2:18" ht="18.75">
      <c r="B29" s="116">
        <v>25</v>
      </c>
      <c r="C29" s="130">
        <v>11281</v>
      </c>
      <c r="D29" s="130">
        <v>11640</v>
      </c>
      <c r="E29" s="118">
        <v>134.70484434376516</v>
      </c>
      <c r="F29" s="119">
        <v>134.70000000000002</v>
      </c>
      <c r="G29" s="120">
        <v>575.55288364249589</v>
      </c>
      <c r="H29" s="121">
        <v>575.55000000000007</v>
      </c>
      <c r="I29" s="120">
        <v>243.05059021922432</v>
      </c>
      <c r="J29" s="122">
        <v>243.05</v>
      </c>
      <c r="K29" s="120">
        <v>358.17025295109613</v>
      </c>
      <c r="L29" s="122">
        <v>358.15000000000003</v>
      </c>
      <c r="M29" s="123">
        <v>230.23932546374371</v>
      </c>
      <c r="N29" s="124">
        <v>230.25</v>
      </c>
      <c r="O29" s="125">
        <v>0.90860033726812828</v>
      </c>
      <c r="P29" s="126">
        <v>9.1399662731871723E-2</v>
      </c>
      <c r="Q29" s="127">
        <v>1</v>
      </c>
      <c r="R29" s="128">
        <v>-0.2</v>
      </c>
    </row>
    <row r="30" spans="2:18" ht="18.75">
      <c r="B30" s="116">
        <v>26</v>
      </c>
      <c r="C30" s="130">
        <v>11641</v>
      </c>
      <c r="D30" s="130">
        <v>12000</v>
      </c>
      <c r="E30" s="118">
        <v>141.37280256553092</v>
      </c>
      <c r="F30" s="119">
        <v>141.35</v>
      </c>
      <c r="G30" s="120">
        <v>603.96733558178755</v>
      </c>
      <c r="H30" s="121">
        <v>603.95000000000005</v>
      </c>
      <c r="I30" s="120">
        <v>255.0497470489039</v>
      </c>
      <c r="J30" s="122">
        <v>255.05</v>
      </c>
      <c r="K30" s="120">
        <v>375.85274873524452</v>
      </c>
      <c r="L30" s="122">
        <v>375.85</v>
      </c>
      <c r="M30" s="123">
        <v>241.6060033726813</v>
      </c>
      <c r="N30" s="124">
        <v>241.60000000000002</v>
      </c>
      <c r="O30" s="125">
        <v>0.95345699831365938</v>
      </c>
      <c r="P30" s="126">
        <v>4.6543001686340624E-2</v>
      </c>
      <c r="Q30" s="127">
        <v>1</v>
      </c>
      <c r="R30" s="128">
        <v>-0.2</v>
      </c>
    </row>
    <row r="31" spans="2:18" ht="147">
      <c r="B31" s="131">
        <v>27</v>
      </c>
      <c r="C31" s="132" t="s">
        <v>92</v>
      </c>
      <c r="D31" s="133" t="s">
        <v>93</v>
      </c>
      <c r="E31" s="134">
        <v>118.58</v>
      </c>
      <c r="F31" s="135">
        <v>118.60000000000001</v>
      </c>
      <c r="G31" s="136">
        <v>506.75</v>
      </c>
      <c r="H31" s="137">
        <v>506.75</v>
      </c>
      <c r="I31" s="136">
        <v>214</v>
      </c>
      <c r="J31" s="137">
        <v>214</v>
      </c>
      <c r="K31" s="136">
        <v>315.36</v>
      </c>
      <c r="L31" s="137">
        <v>315.35000000000002</v>
      </c>
      <c r="M31" s="136">
        <v>202.72</v>
      </c>
      <c r="N31" s="135">
        <v>202.7</v>
      </c>
      <c r="O31" s="138">
        <v>0.8</v>
      </c>
      <c r="P31" s="139">
        <v>0.19999999999999996</v>
      </c>
      <c r="Q31" s="140">
        <v>1</v>
      </c>
      <c r="R31" s="141">
        <v>-0.2</v>
      </c>
    </row>
    <row r="32" spans="2:18" ht="21.75" thickBot="1">
      <c r="B32" s="142">
        <v>28</v>
      </c>
      <c r="C32" s="143" t="s">
        <v>94</v>
      </c>
      <c r="D32" s="144">
        <v>12001</v>
      </c>
      <c r="E32" s="145">
        <v>148.22999999999999</v>
      </c>
      <c r="F32" s="146">
        <v>148.25</v>
      </c>
      <c r="G32" s="147">
        <v>633.45000000000005</v>
      </c>
      <c r="H32" s="148">
        <v>633.45000000000005</v>
      </c>
      <c r="I32" s="147">
        <v>267.5</v>
      </c>
      <c r="J32" s="149">
        <v>267.5</v>
      </c>
      <c r="K32" s="147">
        <v>394.2</v>
      </c>
      <c r="L32" s="149">
        <v>394.2</v>
      </c>
      <c r="M32" s="147">
        <v>253.4</v>
      </c>
      <c r="N32" s="150">
        <v>253.4</v>
      </c>
      <c r="O32" s="151">
        <v>1</v>
      </c>
      <c r="P32" s="152">
        <v>0</v>
      </c>
      <c r="Q32" s="153">
        <v>1</v>
      </c>
      <c r="R32" s="154">
        <v>0</v>
      </c>
    </row>
  </sheetData>
  <mergeCells count="1">
    <mergeCell ref="C3:D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75846-DBB9-5349-A4A2-32E5D0777E87}">
  <dimension ref="B2:AD33"/>
  <sheetViews>
    <sheetView showGridLines="0" topLeftCell="I8" workbookViewId="0">
      <selection activeCell="B2" sqref="B2:L2"/>
    </sheetView>
  </sheetViews>
  <sheetFormatPr baseColWidth="10" defaultRowHeight="15.75"/>
  <cols>
    <col min="1" max="1" width="2.375" customWidth="1"/>
  </cols>
  <sheetData>
    <row r="2" spans="2:30" ht="39">
      <c r="B2" s="240" t="s">
        <v>119</v>
      </c>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row>
    <row r="3" spans="2:30" ht="110.25">
      <c r="B3" s="162" t="s">
        <v>73</v>
      </c>
      <c r="C3" s="242" t="s">
        <v>74</v>
      </c>
      <c r="D3" s="242"/>
      <c r="E3" s="163" t="s">
        <v>76</v>
      </c>
      <c r="F3" s="164" t="s">
        <v>98</v>
      </c>
      <c r="G3" s="165" t="s">
        <v>99</v>
      </c>
      <c r="H3" s="166" t="s">
        <v>100</v>
      </c>
      <c r="I3" s="167" t="s">
        <v>101</v>
      </c>
      <c r="J3" s="165" t="s">
        <v>99</v>
      </c>
      <c r="K3" s="168" t="s">
        <v>100</v>
      </c>
      <c r="L3" s="167" t="s">
        <v>101</v>
      </c>
      <c r="M3" s="165" t="s">
        <v>99</v>
      </c>
      <c r="N3" s="166" t="s">
        <v>100</v>
      </c>
      <c r="O3" s="167" t="s">
        <v>101</v>
      </c>
      <c r="P3" s="165" t="s">
        <v>99</v>
      </c>
      <c r="Q3" s="168" t="s">
        <v>100</v>
      </c>
      <c r="R3" s="167" t="s">
        <v>101</v>
      </c>
      <c r="S3" s="165" t="s">
        <v>99</v>
      </c>
      <c r="T3" s="166" t="s">
        <v>100</v>
      </c>
      <c r="U3" s="167" t="s">
        <v>101</v>
      </c>
      <c r="V3" s="165" t="s">
        <v>99</v>
      </c>
      <c r="W3" s="166" t="s">
        <v>100</v>
      </c>
      <c r="X3" s="167" t="s">
        <v>101</v>
      </c>
      <c r="Y3" s="165" t="s">
        <v>99</v>
      </c>
      <c r="Z3" s="166" t="s">
        <v>100</v>
      </c>
      <c r="AA3" s="98" t="s">
        <v>85</v>
      </c>
      <c r="AB3" s="99" t="s">
        <v>86</v>
      </c>
      <c r="AC3" s="100" t="s">
        <v>87</v>
      </c>
      <c r="AD3" s="99" t="s">
        <v>88</v>
      </c>
    </row>
    <row r="4" spans="2:30" ht="56.25">
      <c r="B4" s="169"/>
      <c r="C4" s="170" t="s">
        <v>89</v>
      </c>
      <c r="D4" s="170" t="s">
        <v>90</v>
      </c>
      <c r="E4" s="171"/>
      <c r="F4" s="172" t="s">
        <v>102</v>
      </c>
      <c r="G4" s="173" t="s">
        <v>102</v>
      </c>
      <c r="H4" s="174" t="s">
        <v>102</v>
      </c>
      <c r="I4" s="175" t="s">
        <v>103</v>
      </c>
      <c r="J4" s="173" t="s">
        <v>103</v>
      </c>
      <c r="K4" s="174" t="s">
        <v>103</v>
      </c>
      <c r="L4" s="175" t="s">
        <v>104</v>
      </c>
      <c r="M4" s="173" t="s">
        <v>104</v>
      </c>
      <c r="N4" s="174" t="s">
        <v>104</v>
      </c>
      <c r="O4" s="175" t="s">
        <v>105</v>
      </c>
      <c r="P4" s="173" t="s">
        <v>105</v>
      </c>
      <c r="Q4" s="174" t="s">
        <v>105</v>
      </c>
      <c r="R4" s="175" t="s">
        <v>106</v>
      </c>
      <c r="S4" s="173" t="s">
        <v>106</v>
      </c>
      <c r="T4" s="176" t="s">
        <v>106</v>
      </c>
      <c r="U4" s="175" t="s">
        <v>107</v>
      </c>
      <c r="V4" s="173" t="s">
        <v>107</v>
      </c>
      <c r="W4" s="174" t="s">
        <v>107</v>
      </c>
      <c r="X4" s="175" t="s">
        <v>108</v>
      </c>
      <c r="Y4" s="173" t="s">
        <v>108</v>
      </c>
      <c r="Z4" s="174" t="s">
        <v>108</v>
      </c>
      <c r="AA4" s="112"/>
      <c r="AB4" s="113"/>
      <c r="AC4" s="114"/>
      <c r="AD4" s="177"/>
    </row>
    <row r="5" spans="2:30" ht="21">
      <c r="B5" s="169"/>
      <c r="C5" s="170"/>
      <c r="D5" s="170"/>
      <c r="E5" s="171"/>
      <c r="F5" s="172"/>
      <c r="G5" s="173"/>
      <c r="H5" s="174" t="s">
        <v>91</v>
      </c>
      <c r="I5" s="175"/>
      <c r="J5" s="173"/>
      <c r="K5" s="174" t="s">
        <v>91</v>
      </c>
      <c r="L5" s="175"/>
      <c r="M5" s="173"/>
      <c r="N5" s="174" t="s">
        <v>91</v>
      </c>
      <c r="O5" s="175"/>
      <c r="P5" s="173"/>
      <c r="Q5" s="174" t="s">
        <v>91</v>
      </c>
      <c r="R5" s="175"/>
      <c r="S5" s="173"/>
      <c r="T5" s="178" t="s">
        <v>91</v>
      </c>
      <c r="U5" s="175"/>
      <c r="V5" s="173"/>
      <c r="W5" s="174" t="s">
        <v>91</v>
      </c>
      <c r="X5" s="175"/>
      <c r="Y5" s="173"/>
      <c r="Z5" s="174" t="s">
        <v>91</v>
      </c>
      <c r="AA5" s="112"/>
      <c r="AB5" s="113"/>
      <c r="AC5" s="114"/>
      <c r="AD5" s="177"/>
    </row>
    <row r="6" spans="2:30" ht="18.75">
      <c r="B6" s="179">
        <v>1</v>
      </c>
      <c r="C6" s="117">
        <v>0</v>
      </c>
      <c r="D6" s="117">
        <v>3000</v>
      </c>
      <c r="E6" s="180">
        <v>21.797837719723987</v>
      </c>
      <c r="F6" s="181">
        <v>1.7467382479912377</v>
      </c>
      <c r="G6" s="182">
        <v>6.4592924795509319</v>
      </c>
      <c r="H6" s="183">
        <v>6.45</v>
      </c>
      <c r="I6" s="120">
        <v>5.5131425952223445</v>
      </c>
      <c r="J6" s="182">
        <v>20.396808083314347</v>
      </c>
      <c r="K6" s="184">
        <v>20.400000000000002</v>
      </c>
      <c r="L6" s="120">
        <v>5.2311171489320927</v>
      </c>
      <c r="M6" s="182">
        <v>19.359682248569552</v>
      </c>
      <c r="N6" s="184">
        <v>19.350000000000001</v>
      </c>
      <c r="O6" s="120">
        <v>3.3115245951500549</v>
      </c>
      <c r="P6" s="182">
        <v>12.254460521063526</v>
      </c>
      <c r="Q6" s="184">
        <v>12.25</v>
      </c>
      <c r="R6" s="120">
        <v>5.9953151324282592</v>
      </c>
      <c r="S6" s="181">
        <v>22.179936711472074</v>
      </c>
      <c r="T6" s="185">
        <v>22.200000000000003</v>
      </c>
      <c r="U6" s="120">
        <v>1.164492165327492</v>
      </c>
      <c r="V6" s="182">
        <v>4.3122600497283683</v>
      </c>
      <c r="W6" s="184">
        <v>4.3</v>
      </c>
      <c r="X6" s="120">
        <v>5.0582628431412928</v>
      </c>
      <c r="Y6" s="182">
        <v>18.713753000614457</v>
      </c>
      <c r="Z6" s="184">
        <v>18.7</v>
      </c>
      <c r="AA6" s="125">
        <v>0.1819519008324206</v>
      </c>
      <c r="AB6" s="126">
        <v>0.81804809916757937</v>
      </c>
      <c r="AC6" s="127">
        <v>1</v>
      </c>
      <c r="AD6" s="186">
        <v>-0.2</v>
      </c>
    </row>
    <row r="7" spans="2:30" ht="18.75">
      <c r="B7" s="179">
        <v>2</v>
      </c>
      <c r="C7" s="129">
        <v>3000</v>
      </c>
      <c r="D7" s="129">
        <v>3360</v>
      </c>
      <c r="E7" s="180">
        <v>24.8</v>
      </c>
      <c r="F7" s="181">
        <v>1.987312186978297</v>
      </c>
      <c r="G7" s="182">
        <v>7.348914858096828</v>
      </c>
      <c r="H7" s="183">
        <v>7.3500000000000005</v>
      </c>
      <c r="I7" s="120">
        <v>6.2724540901502506</v>
      </c>
      <c r="J7" s="182">
        <v>23.206010016694488</v>
      </c>
      <c r="K7" s="184">
        <v>23.200000000000003</v>
      </c>
      <c r="L7" s="120">
        <v>5.9515859766277126</v>
      </c>
      <c r="M7" s="182">
        <v>22.026043405676127</v>
      </c>
      <c r="N7" s="184">
        <v>22.05</v>
      </c>
      <c r="O7" s="120">
        <v>3.7676126878130218</v>
      </c>
      <c r="P7" s="182">
        <v>13.942237061769616</v>
      </c>
      <c r="Q7" s="184">
        <v>13.950000000000001</v>
      </c>
      <c r="R7" s="120">
        <v>6.8210350584307182</v>
      </c>
      <c r="S7" s="181">
        <v>25.234724540901503</v>
      </c>
      <c r="T7" s="185">
        <v>25.25</v>
      </c>
      <c r="U7" s="120">
        <v>1.324874791318865</v>
      </c>
      <c r="V7" s="182">
        <v>4.9061769616026707</v>
      </c>
      <c r="W7" s="184">
        <v>4.9000000000000004</v>
      </c>
      <c r="X7" s="120">
        <v>5.7549248747913193</v>
      </c>
      <c r="Y7" s="182">
        <v>21.291151919866444</v>
      </c>
      <c r="Z7" s="184">
        <v>21.3</v>
      </c>
      <c r="AA7" s="125">
        <v>0.20701168614357263</v>
      </c>
      <c r="AB7" s="126">
        <v>0.79298831385642732</v>
      </c>
      <c r="AC7" s="127">
        <v>1</v>
      </c>
      <c r="AD7" s="186">
        <v>-0.2</v>
      </c>
    </row>
    <row r="8" spans="2:30" ht="18.75">
      <c r="B8" s="179">
        <v>3</v>
      </c>
      <c r="C8" s="129">
        <v>3361</v>
      </c>
      <c r="D8" s="129">
        <v>3720</v>
      </c>
      <c r="E8" s="180">
        <v>28</v>
      </c>
      <c r="F8" s="181">
        <v>2.2437395659432386</v>
      </c>
      <c r="G8" s="182">
        <v>8.2971619365609346</v>
      </c>
      <c r="H8" s="183">
        <v>8.3000000000000007</v>
      </c>
      <c r="I8" s="120">
        <v>7.0818030050083474</v>
      </c>
      <c r="J8" s="182">
        <v>26.20033388981636</v>
      </c>
      <c r="K8" s="184">
        <v>26.200000000000003</v>
      </c>
      <c r="L8" s="120">
        <v>6.7195325542570954</v>
      </c>
      <c r="M8" s="182">
        <v>24.868113522537566</v>
      </c>
      <c r="N8" s="184">
        <v>24.85</v>
      </c>
      <c r="O8" s="120">
        <v>4.2537562604340566</v>
      </c>
      <c r="P8" s="182">
        <v>15.741235392320533</v>
      </c>
      <c r="Q8" s="184">
        <v>15.75</v>
      </c>
      <c r="R8" s="120">
        <v>7.7011686143572629</v>
      </c>
      <c r="S8" s="181">
        <v>28.490818030050086</v>
      </c>
      <c r="T8" s="185">
        <v>28.5</v>
      </c>
      <c r="U8" s="120">
        <v>1.4958263772954927</v>
      </c>
      <c r="V8" s="182">
        <v>5.5392320534223707</v>
      </c>
      <c r="W8" s="184">
        <v>5.5500000000000007</v>
      </c>
      <c r="X8" s="120">
        <v>6.4974958263772962</v>
      </c>
      <c r="Y8" s="182">
        <v>24.038397328881469</v>
      </c>
      <c r="Z8" s="184">
        <v>24.05</v>
      </c>
      <c r="AA8" s="125">
        <v>0.23372287145242071</v>
      </c>
      <c r="AB8" s="126">
        <v>0.76627712854757934</v>
      </c>
      <c r="AC8" s="127">
        <v>1</v>
      </c>
      <c r="AD8" s="186">
        <v>-0.2</v>
      </c>
    </row>
    <row r="9" spans="2:30" ht="18.75">
      <c r="B9" s="179">
        <v>4</v>
      </c>
      <c r="C9" s="129">
        <v>3721</v>
      </c>
      <c r="D9" s="129">
        <v>4080</v>
      </c>
      <c r="E9" s="180">
        <v>30.996579866686897</v>
      </c>
      <c r="F9" s="181">
        <v>2.4838661662787498</v>
      </c>
      <c r="G9" s="182">
        <v>9.1851300940516278</v>
      </c>
      <c r="H9" s="183">
        <v>9.2000000000000011</v>
      </c>
      <c r="I9" s="120">
        <v>7.839702587317305</v>
      </c>
      <c r="J9" s="182">
        <v>29.004312212484152</v>
      </c>
      <c r="K9" s="184">
        <v>29</v>
      </c>
      <c r="L9" s="120">
        <v>7.4386616958868812</v>
      </c>
      <c r="M9" s="182">
        <v>27.529516676256147</v>
      </c>
      <c r="N9" s="184">
        <v>27.55</v>
      </c>
      <c r="O9" s="120">
        <v>4.7089962735701301</v>
      </c>
      <c r="P9" s="182">
        <v>17.425873572799354</v>
      </c>
      <c r="Q9" s="184">
        <v>17.45</v>
      </c>
      <c r="R9" s="120">
        <v>8.5253531436338346</v>
      </c>
      <c r="S9" s="181">
        <v>31.539925590560379</v>
      </c>
      <c r="T9" s="185">
        <v>31.55</v>
      </c>
      <c r="U9" s="120">
        <v>1.6559107775191668</v>
      </c>
      <c r="V9" s="182">
        <v>6.1320445980006637</v>
      </c>
      <c r="W9" s="184">
        <v>6.15</v>
      </c>
      <c r="X9" s="120">
        <v>7.1928624398488799</v>
      </c>
      <c r="Y9" s="182">
        <v>26.61100366685098</v>
      </c>
      <c r="Z9" s="184">
        <v>26.6</v>
      </c>
      <c r="AA9" s="125">
        <v>0.25873605898736979</v>
      </c>
      <c r="AB9" s="126">
        <v>0.74126394101263027</v>
      </c>
      <c r="AC9" s="127">
        <v>1</v>
      </c>
      <c r="AD9" s="186">
        <v>-0.2</v>
      </c>
    </row>
    <row r="10" spans="2:30" ht="18.75">
      <c r="B10" s="179">
        <v>5</v>
      </c>
      <c r="C10" s="129">
        <v>4081</v>
      </c>
      <c r="D10" s="129">
        <v>4440</v>
      </c>
      <c r="E10" s="180">
        <v>34.15</v>
      </c>
      <c r="F10" s="181">
        <v>2.7365609348914854</v>
      </c>
      <c r="G10" s="182">
        <v>10.11957429048414</v>
      </c>
      <c r="H10" s="183">
        <v>10.100000000000001</v>
      </c>
      <c r="I10" s="120">
        <v>8.6372704507512506</v>
      </c>
      <c r="J10" s="182">
        <v>31.95505008347245</v>
      </c>
      <c r="K10" s="184">
        <v>31.950000000000003</v>
      </c>
      <c r="L10" s="120">
        <v>8.1954298831385639</v>
      </c>
      <c r="M10" s="182">
        <v>30.330217028380634</v>
      </c>
      <c r="N10" s="184">
        <v>30.35</v>
      </c>
      <c r="O10" s="120">
        <v>5.1880634390651075</v>
      </c>
      <c r="P10" s="182">
        <v>19.198685308848077</v>
      </c>
      <c r="Q10" s="184">
        <v>19.200000000000003</v>
      </c>
      <c r="R10" s="120">
        <v>9.392675292153589</v>
      </c>
      <c r="S10" s="181">
        <v>34.748622704507511</v>
      </c>
      <c r="T10" s="185">
        <v>34.75</v>
      </c>
      <c r="U10" s="120">
        <v>1.8243739565943238</v>
      </c>
      <c r="V10" s="182">
        <v>6.7558848080133549</v>
      </c>
      <c r="W10" s="184">
        <v>6.75</v>
      </c>
      <c r="X10" s="120">
        <v>7.9246243739565934</v>
      </c>
      <c r="Y10" s="182">
        <v>29.318259599332215</v>
      </c>
      <c r="Z10" s="184">
        <v>29.3</v>
      </c>
      <c r="AA10" s="125">
        <v>0.28505843071786308</v>
      </c>
      <c r="AB10" s="126">
        <v>0.71494156928213692</v>
      </c>
      <c r="AC10" s="127">
        <v>1</v>
      </c>
      <c r="AD10" s="186">
        <v>-0.2</v>
      </c>
    </row>
    <row r="11" spans="2:30" ht="18.75">
      <c r="B11" s="179">
        <v>6</v>
      </c>
      <c r="C11" s="130">
        <v>4441</v>
      </c>
      <c r="D11" s="130">
        <v>4800</v>
      </c>
      <c r="E11" s="180">
        <v>37.4</v>
      </c>
      <c r="F11" s="181">
        <v>2.9969949916527541</v>
      </c>
      <c r="G11" s="182">
        <v>11.082637729549248</v>
      </c>
      <c r="H11" s="183">
        <v>11.100000000000001</v>
      </c>
      <c r="I11" s="120">
        <v>9.4592654424040052</v>
      </c>
      <c r="J11" s="182">
        <v>34.996160267111847</v>
      </c>
      <c r="K11" s="184">
        <v>35</v>
      </c>
      <c r="L11" s="120">
        <v>8.9753756260434052</v>
      </c>
      <c r="M11" s="182">
        <v>33.216694490818028</v>
      </c>
      <c r="N11" s="184">
        <v>33.200000000000003</v>
      </c>
      <c r="O11" s="120">
        <v>5.6818030050083461</v>
      </c>
      <c r="P11" s="182">
        <v>21.025792988313853</v>
      </c>
      <c r="Q11" s="184">
        <v>21.05</v>
      </c>
      <c r="R11" s="120">
        <v>10.286560934891487</v>
      </c>
      <c r="S11" s="181">
        <v>38.055592654424039</v>
      </c>
      <c r="T11" s="185">
        <v>38.050000000000004</v>
      </c>
      <c r="U11" s="120">
        <v>1.9979966611018363</v>
      </c>
      <c r="V11" s="182">
        <v>7.3988313856427368</v>
      </c>
      <c r="W11" s="184">
        <v>7.4</v>
      </c>
      <c r="X11" s="120">
        <v>8.6787979966611015</v>
      </c>
      <c r="Y11" s="182">
        <v>32.108430717863101</v>
      </c>
      <c r="Z11" s="184">
        <v>32.1</v>
      </c>
      <c r="AA11" s="125">
        <v>0.31218697829716191</v>
      </c>
      <c r="AB11" s="126">
        <v>0.68781302170283809</v>
      </c>
      <c r="AC11" s="127">
        <v>1</v>
      </c>
      <c r="AD11" s="186">
        <v>-0.2</v>
      </c>
    </row>
    <row r="12" spans="2:30" ht="18.75">
      <c r="B12" s="179">
        <v>7</v>
      </c>
      <c r="C12" s="129">
        <v>4801</v>
      </c>
      <c r="D12" s="129">
        <v>5160</v>
      </c>
      <c r="E12" s="180">
        <v>40.697090396764736</v>
      </c>
      <c r="F12" s="181">
        <v>3.2612025693567737</v>
      </c>
      <c r="G12" s="182">
        <v>12.059655334600569</v>
      </c>
      <c r="H12" s="183">
        <v>12.05</v>
      </c>
      <c r="I12" s="120">
        <v>10.293170609532318</v>
      </c>
      <c r="J12" s="182">
        <v>38.081334169259826</v>
      </c>
      <c r="K12" s="184">
        <v>38.1</v>
      </c>
      <c r="L12" s="120">
        <v>9.7666222780215879</v>
      </c>
      <c r="M12" s="182">
        <v>36.144995143704243</v>
      </c>
      <c r="N12" s="184">
        <v>36.15</v>
      </c>
      <c r="O12" s="120">
        <v>6.1826965377388836</v>
      </c>
      <c r="P12" s="182">
        <v>22.879374275643613</v>
      </c>
      <c r="Q12" s="184">
        <v>22.900000000000002</v>
      </c>
      <c r="R12" s="120">
        <v>11.193398402115177</v>
      </c>
      <c r="S12" s="181">
        <v>41.410478458811532</v>
      </c>
      <c r="T12" s="185">
        <v>41.400000000000006</v>
      </c>
      <c r="U12" s="120">
        <v>2.1741350462378493</v>
      </c>
      <c r="V12" s="182">
        <v>8.0510938430995349</v>
      </c>
      <c r="W12" s="184">
        <v>8.0500000000000007</v>
      </c>
      <c r="X12" s="120">
        <v>9.4438991070956568</v>
      </c>
      <c r="Y12" s="182">
        <v>34.939029610244184</v>
      </c>
      <c r="Z12" s="184">
        <v>34.950000000000003</v>
      </c>
      <c r="AA12" s="125">
        <v>0.33970860097466393</v>
      </c>
      <c r="AB12" s="126">
        <v>0.66029139902533607</v>
      </c>
      <c r="AC12" s="127">
        <v>1</v>
      </c>
      <c r="AD12" s="186">
        <v>-0.2</v>
      </c>
    </row>
    <row r="13" spans="2:30" ht="18.75">
      <c r="B13" s="179">
        <v>8</v>
      </c>
      <c r="C13" s="129">
        <v>5161</v>
      </c>
      <c r="D13" s="129">
        <v>5520</v>
      </c>
      <c r="E13" s="180">
        <v>44.045704199779031</v>
      </c>
      <c r="F13" s="181">
        <v>3.5295389008170175</v>
      </c>
      <c r="G13" s="182">
        <v>13.051940726979595</v>
      </c>
      <c r="H13" s="183">
        <v>13.05</v>
      </c>
      <c r="I13" s="120">
        <v>11.140107155703712</v>
      </c>
      <c r="J13" s="182">
        <v>41.214719873082046</v>
      </c>
      <c r="K13" s="184">
        <v>41.2</v>
      </c>
      <c r="L13" s="120">
        <v>10.570233687342631</v>
      </c>
      <c r="M13" s="182">
        <v>39.119056150721946</v>
      </c>
      <c r="N13" s="184">
        <v>39.1</v>
      </c>
      <c r="O13" s="120">
        <v>6.6914174994655955</v>
      </c>
      <c r="P13" s="182">
        <v>24.761921351044386</v>
      </c>
      <c r="Q13" s="184">
        <v>24.75</v>
      </c>
      <c r="R13" s="120">
        <v>12.114406956450077</v>
      </c>
      <c r="S13" s="181">
        <v>44.817790834332754</v>
      </c>
      <c r="T13" s="185">
        <v>44.800000000000004</v>
      </c>
      <c r="U13" s="120">
        <v>2.3530259338780115</v>
      </c>
      <c r="V13" s="182">
        <v>8.7135491613920113</v>
      </c>
      <c r="W13" s="184">
        <v>8.7000000000000011</v>
      </c>
      <c r="X13" s="120">
        <v>10.220956400282613</v>
      </c>
      <c r="Y13" s="182">
        <v>37.81386207802398</v>
      </c>
      <c r="Z13" s="184">
        <v>37.800000000000004</v>
      </c>
      <c r="AA13" s="125">
        <v>0.36766030216843931</v>
      </c>
      <c r="AB13" s="126">
        <v>0.63233969783156074</v>
      </c>
      <c r="AC13" s="127">
        <v>1</v>
      </c>
      <c r="AD13" s="186">
        <v>-0.2</v>
      </c>
    </row>
    <row r="14" spans="2:30" ht="18.75">
      <c r="B14" s="179">
        <v>9</v>
      </c>
      <c r="C14" s="129">
        <v>5521</v>
      </c>
      <c r="D14" s="129">
        <v>5880</v>
      </c>
      <c r="E14" s="180">
        <v>47.45319288754856</v>
      </c>
      <c r="F14" s="181">
        <v>3.8025930861474637</v>
      </c>
      <c r="G14" s="182">
        <v>14.061672349816142</v>
      </c>
      <c r="H14" s="183">
        <v>14.05</v>
      </c>
      <c r="I14" s="120">
        <v>12.001934428152934</v>
      </c>
      <c r="J14" s="182">
        <v>44.403196349701112</v>
      </c>
      <c r="K14" s="184">
        <v>44.400000000000006</v>
      </c>
      <c r="L14" s="120">
        <v>11.387974086118707</v>
      </c>
      <c r="M14" s="182">
        <v>42.145406704801061</v>
      </c>
      <c r="N14" s="184">
        <v>42.150000000000006</v>
      </c>
      <c r="O14" s="120">
        <v>7.2090827258212338</v>
      </c>
      <c r="P14" s="182">
        <v>26.6775671200033</v>
      </c>
      <c r="Q14" s="184">
        <v>26.700000000000003</v>
      </c>
      <c r="R14" s="120">
        <v>13.051608561308225</v>
      </c>
      <c r="S14" s="181">
        <v>48.285010125143323</v>
      </c>
      <c r="T14" s="185">
        <v>48.300000000000004</v>
      </c>
      <c r="U14" s="120">
        <v>2.5350620574316429</v>
      </c>
      <c r="V14" s="182">
        <v>9.3876516814265507</v>
      </c>
      <c r="W14" s="184">
        <v>9.4</v>
      </c>
      <c r="X14" s="120">
        <v>11.011675811968699</v>
      </c>
      <c r="Y14" s="182">
        <v>40.739239469819445</v>
      </c>
      <c r="Z14" s="184">
        <v>40.75</v>
      </c>
      <c r="AA14" s="125">
        <v>0.39610344647369417</v>
      </c>
      <c r="AB14" s="126">
        <v>0.60389655352630589</v>
      </c>
      <c r="AC14" s="127">
        <v>1</v>
      </c>
      <c r="AD14" s="186">
        <v>-0.2</v>
      </c>
    </row>
    <row r="15" spans="2:30" ht="18.75">
      <c r="B15" s="179">
        <v>10</v>
      </c>
      <c r="C15" s="129">
        <v>5881</v>
      </c>
      <c r="D15" s="129">
        <v>6240</v>
      </c>
      <c r="E15" s="180">
        <v>50.9</v>
      </c>
      <c r="F15" s="181">
        <v>4.0787979966611019</v>
      </c>
      <c r="G15" s="182">
        <v>15.0830550918197</v>
      </c>
      <c r="H15" s="183">
        <v>15.100000000000001</v>
      </c>
      <c r="I15" s="120">
        <v>12.873706176961603</v>
      </c>
      <c r="J15" s="182">
        <v>47.628464106844739</v>
      </c>
      <c r="K15" s="184">
        <v>47.650000000000006</v>
      </c>
      <c r="L15" s="120">
        <v>12.215150250417363</v>
      </c>
      <c r="M15" s="182">
        <v>45.20667779632722</v>
      </c>
      <c r="N15" s="184">
        <v>45.2</v>
      </c>
      <c r="O15" s="120">
        <v>7.7327212020033391</v>
      </c>
      <c r="P15" s="182">
        <v>28.615317195325542</v>
      </c>
      <c r="Q15" s="184">
        <v>28.6</v>
      </c>
      <c r="R15" s="120">
        <v>13.999624373956596</v>
      </c>
      <c r="S15" s="181">
        <v>51.792237061769619</v>
      </c>
      <c r="T15" s="185">
        <v>51.800000000000004</v>
      </c>
      <c r="U15" s="120">
        <v>2.7191986644407349</v>
      </c>
      <c r="V15" s="182">
        <v>10.069532554257096</v>
      </c>
      <c r="W15" s="184">
        <v>10.050000000000001</v>
      </c>
      <c r="X15" s="120">
        <v>11.811519198664442</v>
      </c>
      <c r="Y15" s="182">
        <v>43.69837228714524</v>
      </c>
      <c r="Z15" s="184">
        <v>43.7</v>
      </c>
      <c r="AA15" s="125">
        <v>0.4248747913188648</v>
      </c>
      <c r="AB15" s="126">
        <v>0.57512520868113515</v>
      </c>
      <c r="AC15" s="127">
        <v>1</v>
      </c>
      <c r="AD15" s="186">
        <v>-0.2</v>
      </c>
    </row>
    <row r="16" spans="2:30" ht="18.75">
      <c r="B16" s="179">
        <v>11</v>
      </c>
      <c r="C16" s="129">
        <v>6241</v>
      </c>
      <c r="D16" s="129">
        <v>6600</v>
      </c>
      <c r="E16" s="180">
        <v>54.448030765609772</v>
      </c>
      <c r="F16" s="181">
        <v>4.3631143184461925</v>
      </c>
      <c r="G16" s="182">
        <v>16.134433156754149</v>
      </c>
      <c r="H16" s="183">
        <v>16.150000000000002</v>
      </c>
      <c r="I16" s="120">
        <v>13.771079567595795</v>
      </c>
      <c r="J16" s="182">
        <v>50.948449489356058</v>
      </c>
      <c r="K16" s="184">
        <v>50.95</v>
      </c>
      <c r="L16" s="120">
        <v>13.066618401596671</v>
      </c>
      <c r="M16" s="182">
        <v>48.357850362778635</v>
      </c>
      <c r="N16" s="184">
        <v>48.35</v>
      </c>
      <c r="O16" s="120">
        <v>8.2717375620542395</v>
      </c>
      <c r="P16" s="182">
        <v>30.609973890349067</v>
      </c>
      <c r="Q16" s="184">
        <v>30.6</v>
      </c>
      <c r="R16" s="120">
        <v>14.975480915916881</v>
      </c>
      <c r="S16" s="181">
        <v>55.402462022769882</v>
      </c>
      <c r="T16" s="185">
        <v>55.400000000000006</v>
      </c>
      <c r="U16" s="120">
        <v>2.9087428789641283</v>
      </c>
      <c r="V16" s="182">
        <v>10.771438473664038</v>
      </c>
      <c r="W16" s="184">
        <v>10.75</v>
      </c>
      <c r="X16" s="120">
        <v>12.634851880500433</v>
      </c>
      <c r="Y16" s="182">
        <v>46.744407047103216</v>
      </c>
      <c r="Z16" s="184">
        <v>46.75</v>
      </c>
      <c r="AA16" s="125">
        <v>0.45449107483814505</v>
      </c>
      <c r="AB16" s="126">
        <v>0.54550892516185501</v>
      </c>
      <c r="AC16" s="127">
        <v>1</v>
      </c>
      <c r="AD16" s="186">
        <v>-0.2</v>
      </c>
    </row>
    <row r="17" spans="2:30" ht="18.75">
      <c r="B17" s="179">
        <v>12</v>
      </c>
      <c r="C17" s="129">
        <v>6601</v>
      </c>
      <c r="D17" s="129">
        <v>6960</v>
      </c>
      <c r="E17" s="180">
        <v>58.05</v>
      </c>
      <c r="F17" s="181">
        <v>4.651752921535893</v>
      </c>
      <c r="G17" s="182">
        <v>17.201794657762939</v>
      </c>
      <c r="H17" s="183">
        <v>17.2</v>
      </c>
      <c r="I17" s="120">
        <v>14.682095158597663</v>
      </c>
      <c r="J17" s="182">
        <v>54.31890651085142</v>
      </c>
      <c r="K17" s="184">
        <v>54.300000000000004</v>
      </c>
      <c r="L17" s="120">
        <v>13.931030884808013</v>
      </c>
      <c r="M17" s="182">
        <v>51.556928213689488</v>
      </c>
      <c r="N17" s="184">
        <v>51.550000000000004</v>
      </c>
      <c r="O17" s="120">
        <v>8.8189482470784633</v>
      </c>
      <c r="P17" s="182">
        <v>32.634954090150245</v>
      </c>
      <c r="Q17" s="184">
        <v>32.65</v>
      </c>
      <c r="R17" s="120">
        <v>15.966172787979968</v>
      </c>
      <c r="S17" s="181">
        <v>59.067570951585978</v>
      </c>
      <c r="T17" s="185">
        <v>59.050000000000004</v>
      </c>
      <c r="U17" s="120">
        <v>3.1011686143572623</v>
      </c>
      <c r="V17" s="182">
        <v>11.484015025041735</v>
      </c>
      <c r="W17" s="184">
        <v>11.5</v>
      </c>
      <c r="X17" s="120">
        <v>13.470701168614358</v>
      </c>
      <c r="Y17" s="182">
        <v>49.836748747913184</v>
      </c>
      <c r="Z17" s="184">
        <v>49.85</v>
      </c>
      <c r="AA17" s="125">
        <v>0.48455759599332221</v>
      </c>
      <c r="AB17" s="126">
        <v>0.51544240400667785</v>
      </c>
      <c r="AC17" s="127">
        <v>1</v>
      </c>
      <c r="AD17" s="186">
        <v>-0.2</v>
      </c>
    </row>
    <row r="18" spans="2:30" ht="18.75">
      <c r="B18" s="179">
        <v>13</v>
      </c>
      <c r="C18" s="129">
        <v>6961</v>
      </c>
      <c r="D18" s="129">
        <v>7320</v>
      </c>
      <c r="E18" s="180">
        <v>61.7</v>
      </c>
      <c r="F18" s="181">
        <v>4.9442404006677796</v>
      </c>
      <c r="G18" s="182">
        <v>18.283388981636062</v>
      </c>
      <c r="H18" s="183">
        <v>18.3</v>
      </c>
      <c r="I18" s="120">
        <v>15.605258764607681</v>
      </c>
      <c r="J18" s="182">
        <v>57.734307178631056</v>
      </c>
      <c r="K18" s="184">
        <v>57.75</v>
      </c>
      <c r="L18" s="120">
        <v>14.806969949916528</v>
      </c>
      <c r="M18" s="182">
        <v>54.798664440734569</v>
      </c>
      <c r="N18" s="184">
        <v>54.800000000000004</v>
      </c>
      <c r="O18" s="120">
        <v>9.3734557595993326</v>
      </c>
      <c r="P18" s="182">
        <v>34.686936560934889</v>
      </c>
      <c r="Q18" s="184">
        <v>34.700000000000003</v>
      </c>
      <c r="R18" s="120">
        <v>16.970075125208684</v>
      </c>
      <c r="S18" s="181">
        <v>62.781552587646082</v>
      </c>
      <c r="T18" s="185">
        <v>62.800000000000004</v>
      </c>
      <c r="U18" s="120">
        <v>3.2961602671118535</v>
      </c>
      <c r="V18" s="182">
        <v>12.206093489148582</v>
      </c>
      <c r="W18" s="184">
        <v>12.200000000000001</v>
      </c>
      <c r="X18" s="120">
        <v>14.317696160267113</v>
      </c>
      <c r="Y18" s="182">
        <v>52.970325542570954</v>
      </c>
      <c r="Z18" s="184">
        <v>52.95</v>
      </c>
      <c r="AA18" s="125">
        <v>0.5150250417362271</v>
      </c>
      <c r="AB18" s="126">
        <v>0.4849749582637729</v>
      </c>
      <c r="AC18" s="127">
        <v>1</v>
      </c>
      <c r="AD18" s="186">
        <v>-0.2</v>
      </c>
    </row>
    <row r="19" spans="2:30" ht="18.75">
      <c r="B19" s="179">
        <v>14</v>
      </c>
      <c r="C19" s="129">
        <v>7321</v>
      </c>
      <c r="D19" s="129">
        <v>7680</v>
      </c>
      <c r="E19" s="180">
        <v>65.402336040310601</v>
      </c>
      <c r="F19" s="181">
        <v>5.24092175281287</v>
      </c>
      <c r="G19" s="182">
        <v>19.380491898422591</v>
      </c>
      <c r="H19" s="183">
        <v>19.400000000000002</v>
      </c>
      <c r="I19" s="120">
        <v>16.541659282315621</v>
      </c>
      <c r="J19" s="182">
        <v>61.198680051075279</v>
      </c>
      <c r="K19" s="184">
        <v>61.2</v>
      </c>
      <c r="L19" s="120">
        <v>15.695468790976044</v>
      </c>
      <c r="M19" s="182">
        <v>58.086882760342647</v>
      </c>
      <c r="N19" s="184">
        <v>58.1</v>
      </c>
      <c r="O19" s="120">
        <v>9.9359141563743982</v>
      </c>
      <c r="P19" s="182">
        <v>36.768341672077788</v>
      </c>
      <c r="Q19" s="184">
        <v>36.75</v>
      </c>
      <c r="R19" s="120">
        <v>17.988372057831675</v>
      </c>
      <c r="S19" s="181">
        <v>66.548787673738431</v>
      </c>
      <c r="T19" s="185">
        <v>66.55</v>
      </c>
      <c r="U19" s="120">
        <v>3.49394783520858</v>
      </c>
      <c r="V19" s="182">
        <v>12.938525577256772</v>
      </c>
      <c r="W19" s="184">
        <v>12.950000000000001</v>
      </c>
      <c r="X19" s="120">
        <v>15.17683590918727</v>
      </c>
      <c r="Y19" s="182">
        <v>56.148833570500379</v>
      </c>
      <c r="Z19" s="184">
        <v>56.150000000000006</v>
      </c>
      <c r="AA19" s="125">
        <v>0.54592934925134062</v>
      </c>
      <c r="AB19" s="126">
        <v>0.45407065074865938</v>
      </c>
      <c r="AC19" s="127">
        <v>1</v>
      </c>
      <c r="AD19" s="186">
        <v>-0.2</v>
      </c>
    </row>
    <row r="20" spans="2:30" ht="18.75">
      <c r="B20" s="179">
        <v>15</v>
      </c>
      <c r="C20" s="129">
        <v>7681</v>
      </c>
      <c r="D20" s="129">
        <v>8040</v>
      </c>
      <c r="E20" s="180">
        <v>69.2</v>
      </c>
      <c r="F20" s="181">
        <v>5.5452420701168617</v>
      </c>
      <c r="G20" s="182">
        <v>20.505843071786312</v>
      </c>
      <c r="H20" s="183">
        <v>20.5</v>
      </c>
      <c r="I20" s="120">
        <v>17.502170283806343</v>
      </c>
      <c r="J20" s="182">
        <v>64.75225375626043</v>
      </c>
      <c r="K20" s="184">
        <v>64.75</v>
      </c>
      <c r="L20" s="120">
        <v>16.606844741235392</v>
      </c>
      <c r="M20" s="182">
        <v>61.459766277128551</v>
      </c>
      <c r="N20" s="184">
        <v>61.45</v>
      </c>
      <c r="O20" s="120">
        <v>10.512854757929883</v>
      </c>
      <c r="P20" s="182">
        <v>38.903338898163604</v>
      </c>
      <c r="Q20" s="184">
        <v>38.900000000000006</v>
      </c>
      <c r="R20" s="120">
        <v>19.032888146911521</v>
      </c>
      <c r="S20" s="181">
        <v>70.413021702838066</v>
      </c>
      <c r="T20" s="185">
        <v>70.400000000000006</v>
      </c>
      <c r="U20" s="120">
        <v>3.6968280467445744</v>
      </c>
      <c r="V20" s="182">
        <v>13.689816360601002</v>
      </c>
      <c r="W20" s="184">
        <v>13.700000000000001</v>
      </c>
      <c r="X20" s="120">
        <v>16.058096828046747</v>
      </c>
      <c r="Y20" s="182">
        <v>59.409181969949913</v>
      </c>
      <c r="Z20" s="184">
        <v>59.400000000000006</v>
      </c>
      <c r="AA20" s="125">
        <v>0.57762938230383976</v>
      </c>
      <c r="AB20" s="126">
        <v>0.42237061769616024</v>
      </c>
      <c r="AC20" s="127">
        <v>1</v>
      </c>
      <c r="AD20" s="186">
        <v>-0.2</v>
      </c>
    </row>
    <row r="21" spans="2:30" ht="18.75">
      <c r="B21" s="179">
        <v>16</v>
      </c>
      <c r="C21" s="129">
        <v>8041</v>
      </c>
      <c r="D21" s="129">
        <v>8400</v>
      </c>
      <c r="E21" s="180">
        <v>73</v>
      </c>
      <c r="F21" s="181">
        <v>5.8497495826377293</v>
      </c>
      <c r="G21" s="182">
        <v>21.631886477462437</v>
      </c>
      <c r="H21" s="183">
        <v>21.650000000000002</v>
      </c>
      <c r="I21" s="120">
        <v>18.463272120200333</v>
      </c>
      <c r="J21" s="182">
        <v>68.308013355592649</v>
      </c>
      <c r="K21" s="184">
        <v>68.3</v>
      </c>
      <c r="L21" s="120">
        <v>17.518781302170282</v>
      </c>
      <c r="M21" s="182">
        <v>64.834724540901504</v>
      </c>
      <c r="N21" s="184">
        <v>64.850000000000009</v>
      </c>
      <c r="O21" s="120">
        <v>11.090150250417363</v>
      </c>
      <c r="P21" s="182">
        <v>41.039649415692821</v>
      </c>
      <c r="Q21" s="184">
        <v>41.050000000000004</v>
      </c>
      <c r="R21" s="120">
        <v>20.078046744574291</v>
      </c>
      <c r="S21" s="181">
        <v>74.279632721202006</v>
      </c>
      <c r="T21" s="185">
        <v>74.3</v>
      </c>
      <c r="U21" s="120">
        <v>3.8998330550918201</v>
      </c>
      <c r="V21" s="182">
        <v>14.441569282136895</v>
      </c>
      <c r="W21" s="184">
        <v>14.450000000000001</v>
      </c>
      <c r="X21" s="120">
        <v>16.939899833055094</v>
      </c>
      <c r="Y21" s="182">
        <v>62.671535893155259</v>
      </c>
      <c r="Z21" s="184">
        <v>62.650000000000006</v>
      </c>
      <c r="AA21" s="125">
        <v>0.60934891485809684</v>
      </c>
      <c r="AB21" s="126">
        <v>0.39065108514190316</v>
      </c>
      <c r="AC21" s="127">
        <v>1</v>
      </c>
      <c r="AD21" s="186">
        <v>-0.2</v>
      </c>
    </row>
    <row r="22" spans="2:30" ht="18.75">
      <c r="B22" s="179">
        <v>17</v>
      </c>
      <c r="C22" s="129">
        <v>8401</v>
      </c>
      <c r="D22" s="129">
        <v>8760</v>
      </c>
      <c r="E22" s="180">
        <v>76.95</v>
      </c>
      <c r="F22" s="181">
        <v>6.1662771285475788</v>
      </c>
      <c r="G22" s="182">
        <v>22.802378964941568</v>
      </c>
      <c r="H22" s="183">
        <v>22.8</v>
      </c>
      <c r="I22" s="120">
        <v>19.462312186978298</v>
      </c>
      <c r="J22" s="182">
        <v>72.004131886477452</v>
      </c>
      <c r="K22" s="184">
        <v>72</v>
      </c>
      <c r="L22" s="120">
        <v>18.466715358931552</v>
      </c>
      <c r="M22" s="182">
        <v>68.342904841402344</v>
      </c>
      <c r="N22" s="184">
        <v>68.350000000000009</v>
      </c>
      <c r="O22" s="120">
        <v>11.690233722871453</v>
      </c>
      <c r="P22" s="182">
        <v>43.260287979966606</v>
      </c>
      <c r="Q22" s="184">
        <v>43.25</v>
      </c>
      <c r="R22" s="120">
        <v>21.164461602671121</v>
      </c>
      <c r="S22" s="181">
        <v>78.298873121869789</v>
      </c>
      <c r="T22" s="185">
        <v>78.300000000000011</v>
      </c>
      <c r="U22" s="120">
        <v>4.1108514190317198</v>
      </c>
      <c r="V22" s="182">
        <v>15.222996661101835</v>
      </c>
      <c r="W22" s="184">
        <v>15.200000000000001</v>
      </c>
      <c r="X22" s="120">
        <v>17.856510851419031</v>
      </c>
      <c r="Y22" s="182">
        <v>66.062666944908173</v>
      </c>
      <c r="Z22" s="184">
        <v>66.05</v>
      </c>
      <c r="AA22" s="125">
        <v>0.64232053422370616</v>
      </c>
      <c r="AB22" s="126">
        <v>0.35767946577629384</v>
      </c>
      <c r="AC22" s="127">
        <v>1</v>
      </c>
      <c r="AD22" s="186">
        <v>-0.2</v>
      </c>
    </row>
    <row r="23" spans="2:30" ht="18.75">
      <c r="B23" s="179">
        <v>18</v>
      </c>
      <c r="C23" s="129">
        <v>8761</v>
      </c>
      <c r="D23" s="129">
        <v>9120</v>
      </c>
      <c r="E23" s="180">
        <v>80.900000000000006</v>
      </c>
      <c r="F23" s="181">
        <v>6.4828046744574293</v>
      </c>
      <c r="G23" s="182">
        <v>23.972871452420705</v>
      </c>
      <c r="H23" s="183">
        <v>23.950000000000003</v>
      </c>
      <c r="I23" s="120">
        <v>20.461352253756264</v>
      </c>
      <c r="J23" s="182">
        <v>75.70025041736227</v>
      </c>
      <c r="K23" s="184">
        <v>75.7</v>
      </c>
      <c r="L23" s="120">
        <v>19.414649415692825</v>
      </c>
      <c r="M23" s="182">
        <v>71.851085141903184</v>
      </c>
      <c r="N23" s="184">
        <v>71.850000000000009</v>
      </c>
      <c r="O23" s="120">
        <v>12.290317195325544</v>
      </c>
      <c r="P23" s="182">
        <v>45.480926544240404</v>
      </c>
      <c r="Q23" s="184">
        <v>45.5</v>
      </c>
      <c r="R23" s="120">
        <v>22.250876460767952</v>
      </c>
      <c r="S23" s="181">
        <v>82.318113522537573</v>
      </c>
      <c r="T23" s="185">
        <v>82.300000000000011</v>
      </c>
      <c r="U23" s="120">
        <v>4.3218697829716204</v>
      </c>
      <c r="V23" s="182">
        <v>16.00442404006678</v>
      </c>
      <c r="W23" s="184">
        <v>16</v>
      </c>
      <c r="X23" s="120">
        <v>18.773121869782972</v>
      </c>
      <c r="Y23" s="182">
        <v>69.453797996661109</v>
      </c>
      <c r="Z23" s="184">
        <v>69.45</v>
      </c>
      <c r="AA23" s="125">
        <v>0.6752921535893156</v>
      </c>
      <c r="AB23" s="126">
        <v>0.3247078464106844</v>
      </c>
      <c r="AC23" s="127">
        <v>1</v>
      </c>
      <c r="AD23" s="186">
        <v>-0.2</v>
      </c>
    </row>
    <row r="24" spans="2:30" ht="18.75">
      <c r="B24" s="179">
        <v>19</v>
      </c>
      <c r="C24" s="129">
        <v>9121</v>
      </c>
      <c r="D24" s="129">
        <v>9480</v>
      </c>
      <c r="E24" s="180">
        <v>84.948626172603255</v>
      </c>
      <c r="F24" s="181">
        <v>6.8072354862854025</v>
      </c>
      <c r="G24" s="182">
        <v>25.172589558659563</v>
      </c>
      <c r="H24" s="183">
        <v>25.150000000000002</v>
      </c>
      <c r="I24" s="120">
        <v>21.485337003588302</v>
      </c>
      <c r="J24" s="182">
        <v>79.488656042978505</v>
      </c>
      <c r="K24" s="184">
        <v>79.5</v>
      </c>
      <c r="L24" s="120">
        <v>20.386252107365138</v>
      </c>
      <c r="M24" s="182">
        <v>75.446859972996549</v>
      </c>
      <c r="N24" s="184">
        <v>75.45</v>
      </c>
      <c r="O24" s="120">
        <v>12.90538394274941</v>
      </c>
      <c r="P24" s="182">
        <v>47.757011458471027</v>
      </c>
      <c r="Q24" s="184">
        <v>47.75</v>
      </c>
      <c r="R24" s="120">
        <v>23.364417632615005</v>
      </c>
      <c r="S24" s="181">
        <v>86.437708935228201</v>
      </c>
      <c r="T24" s="185">
        <v>86.45</v>
      </c>
      <c r="U24" s="120">
        <v>4.5381569908569359</v>
      </c>
      <c r="V24" s="182">
        <v>16.805362606767087</v>
      </c>
      <c r="W24" s="184">
        <v>16.8</v>
      </c>
      <c r="X24" s="120">
        <v>19.712619429034813</v>
      </c>
      <c r="Y24" s="182">
        <v>72.929601017130594</v>
      </c>
      <c r="Z24" s="184">
        <v>72.95</v>
      </c>
      <c r="AA24" s="125">
        <v>0.70908702982139615</v>
      </c>
      <c r="AB24" s="126">
        <v>0.29091297017860385</v>
      </c>
      <c r="AC24" s="127">
        <v>1</v>
      </c>
      <c r="AD24" s="186">
        <v>-0.2</v>
      </c>
    </row>
    <row r="25" spans="2:30" ht="18.75">
      <c r="B25" s="179">
        <v>20</v>
      </c>
      <c r="C25" s="129">
        <v>9481</v>
      </c>
      <c r="D25" s="129">
        <v>9840</v>
      </c>
      <c r="E25" s="180">
        <v>89.05</v>
      </c>
      <c r="F25" s="181">
        <v>7.1358931552587643</v>
      </c>
      <c r="G25" s="182">
        <v>26.387938230383973</v>
      </c>
      <c r="H25" s="183">
        <v>26.400000000000002</v>
      </c>
      <c r="I25" s="120">
        <v>22.522662771285479</v>
      </c>
      <c r="J25" s="182">
        <v>83.326419031719524</v>
      </c>
      <c r="K25" s="184">
        <v>83.350000000000009</v>
      </c>
      <c r="L25" s="120">
        <v>21.370513355592657</v>
      </c>
      <c r="M25" s="182">
        <v>79.089482470784645</v>
      </c>
      <c r="N25" s="184">
        <v>79.100000000000009</v>
      </c>
      <c r="O25" s="120">
        <v>13.528464106844741</v>
      </c>
      <c r="P25" s="182">
        <v>50.062750417362267</v>
      </c>
      <c r="Q25" s="184">
        <v>50.050000000000004</v>
      </c>
      <c r="R25" s="120">
        <v>24.492466611018369</v>
      </c>
      <c r="S25" s="181">
        <v>90.610976627712859</v>
      </c>
      <c r="T25" s="185">
        <v>90.600000000000009</v>
      </c>
      <c r="U25" s="120">
        <v>4.7572621035058438</v>
      </c>
      <c r="V25" s="182">
        <v>17.616736227045074</v>
      </c>
      <c r="W25" s="184">
        <v>17.600000000000001</v>
      </c>
      <c r="X25" s="120">
        <v>20.664357262103508</v>
      </c>
      <c r="Y25" s="182">
        <v>76.450688647746247</v>
      </c>
      <c r="Z25" s="184">
        <v>76.45</v>
      </c>
      <c r="AA25" s="125">
        <v>0.74332220367278801</v>
      </c>
      <c r="AB25" s="126">
        <v>0.25667779632721199</v>
      </c>
      <c r="AC25" s="127">
        <v>1</v>
      </c>
      <c r="AD25" s="186">
        <v>-0.2</v>
      </c>
    </row>
    <row r="26" spans="2:30" ht="18.75">
      <c r="B26" s="179">
        <v>21</v>
      </c>
      <c r="C26" s="129">
        <v>9841</v>
      </c>
      <c r="D26" s="129">
        <v>10200</v>
      </c>
      <c r="E26" s="180">
        <v>93.25</v>
      </c>
      <c r="F26" s="181">
        <v>7.4724540901502499</v>
      </c>
      <c r="G26" s="182">
        <v>27.632512520868115</v>
      </c>
      <c r="H26" s="183">
        <v>27.650000000000002</v>
      </c>
      <c r="I26" s="120">
        <v>23.584933222036728</v>
      </c>
      <c r="J26" s="182">
        <v>87.256469115191976</v>
      </c>
      <c r="K26" s="184">
        <v>87.25</v>
      </c>
      <c r="L26" s="120">
        <v>22.378443238731219</v>
      </c>
      <c r="M26" s="182">
        <v>82.819699499165282</v>
      </c>
      <c r="N26" s="184">
        <v>82.800000000000011</v>
      </c>
      <c r="O26" s="120">
        <v>14.166527545909849</v>
      </c>
      <c r="P26" s="182">
        <v>52.423935726210345</v>
      </c>
      <c r="Q26" s="184">
        <v>52.400000000000006</v>
      </c>
      <c r="R26" s="120">
        <v>25.647641903171955</v>
      </c>
      <c r="S26" s="181">
        <v>94.884599332220375</v>
      </c>
      <c r="T26" s="185">
        <v>94.9</v>
      </c>
      <c r="U26" s="120">
        <v>4.9816360601001675</v>
      </c>
      <c r="V26" s="182">
        <v>18.447621035058429</v>
      </c>
      <c r="W26" s="184">
        <v>18.45</v>
      </c>
      <c r="X26" s="120">
        <v>21.638981636060102</v>
      </c>
      <c r="Y26" s="182">
        <v>80.056448247078464</v>
      </c>
      <c r="Z26" s="184">
        <v>80.050000000000011</v>
      </c>
      <c r="AA26" s="125">
        <v>0.77838063439065108</v>
      </c>
      <c r="AB26" s="126">
        <v>0.22161936560934892</v>
      </c>
      <c r="AC26" s="127">
        <v>1</v>
      </c>
      <c r="AD26" s="186">
        <v>-0.2</v>
      </c>
    </row>
    <row r="27" spans="2:30" ht="18.75">
      <c r="B27" s="179">
        <v>22</v>
      </c>
      <c r="C27" s="129">
        <v>10201</v>
      </c>
      <c r="D27" s="129">
        <v>10560</v>
      </c>
      <c r="E27" s="180">
        <v>97.5</v>
      </c>
      <c r="F27" s="181">
        <v>7.8130217028380624</v>
      </c>
      <c r="G27" s="182">
        <v>28.891903171953253</v>
      </c>
      <c r="H27" s="183">
        <v>28.900000000000002</v>
      </c>
      <c r="I27" s="120">
        <v>24.659849749582637</v>
      </c>
      <c r="J27" s="182">
        <v>91.23330550918196</v>
      </c>
      <c r="K27" s="184">
        <v>91.25</v>
      </c>
      <c r="L27" s="120">
        <v>23.398372287145243</v>
      </c>
      <c r="M27" s="182">
        <v>86.594323873121866</v>
      </c>
      <c r="N27" s="184">
        <v>86.600000000000009</v>
      </c>
      <c r="O27" s="120">
        <v>14.812186978297161</v>
      </c>
      <c r="P27" s="182">
        <v>54.813230383973284</v>
      </c>
      <c r="Q27" s="184">
        <v>54.800000000000004</v>
      </c>
      <c r="R27" s="120">
        <v>26.816569282136896</v>
      </c>
      <c r="S27" s="181">
        <v>99.20909849749583</v>
      </c>
      <c r="T27" s="185">
        <v>99.2</v>
      </c>
      <c r="U27" s="120">
        <v>5.2086811352253761</v>
      </c>
      <c r="V27" s="182">
        <v>19.288397328881469</v>
      </c>
      <c r="W27" s="184">
        <v>19.3</v>
      </c>
      <c r="X27" s="120">
        <v>22.625208681135224</v>
      </c>
      <c r="Y27" s="182">
        <v>83.705133555926537</v>
      </c>
      <c r="Z27" s="184">
        <v>83.7</v>
      </c>
      <c r="AA27" s="125">
        <v>0.81385642737896491</v>
      </c>
      <c r="AB27" s="126">
        <v>0.18614357262103509</v>
      </c>
      <c r="AC27" s="127">
        <v>1</v>
      </c>
      <c r="AD27" s="186">
        <v>-0.2</v>
      </c>
    </row>
    <row r="28" spans="2:30" ht="18.75">
      <c r="B28" s="179">
        <v>23</v>
      </c>
      <c r="C28" s="129">
        <v>10561</v>
      </c>
      <c r="D28" s="129">
        <v>10920</v>
      </c>
      <c r="E28" s="180">
        <v>101.8</v>
      </c>
      <c r="F28" s="181">
        <v>8.1575959933222038</v>
      </c>
      <c r="G28" s="182">
        <v>30.1661101836394</v>
      </c>
      <c r="H28" s="183">
        <v>30.150000000000002</v>
      </c>
      <c r="I28" s="120">
        <v>25.747412353923206</v>
      </c>
      <c r="J28" s="182">
        <v>95.256928213689477</v>
      </c>
      <c r="K28" s="184">
        <v>95.25</v>
      </c>
      <c r="L28" s="120">
        <v>24.430300500834726</v>
      </c>
      <c r="M28" s="182">
        <v>90.41335559265444</v>
      </c>
      <c r="N28" s="184">
        <v>90.4</v>
      </c>
      <c r="O28" s="120">
        <v>15.465442404006678</v>
      </c>
      <c r="P28" s="182">
        <v>57.230634390651083</v>
      </c>
      <c r="Q28" s="184">
        <v>57.25</v>
      </c>
      <c r="R28" s="120">
        <v>27.999248747913192</v>
      </c>
      <c r="S28" s="181">
        <v>103.58447412353924</v>
      </c>
      <c r="T28" s="185">
        <v>103.60000000000001</v>
      </c>
      <c r="U28" s="120">
        <v>5.4383973288814698</v>
      </c>
      <c r="V28" s="182">
        <v>20.139065108514192</v>
      </c>
      <c r="W28" s="184">
        <v>20.150000000000002</v>
      </c>
      <c r="X28" s="120">
        <v>23.623038397328884</v>
      </c>
      <c r="Y28" s="182">
        <v>87.39674457429048</v>
      </c>
      <c r="Z28" s="184">
        <v>87.4</v>
      </c>
      <c r="AA28" s="125">
        <v>0.84974958263772959</v>
      </c>
      <c r="AB28" s="126">
        <v>0.15025041736227041</v>
      </c>
      <c r="AC28" s="127">
        <v>1</v>
      </c>
      <c r="AD28" s="186">
        <v>-0.2</v>
      </c>
    </row>
    <row r="29" spans="2:30" ht="18.75">
      <c r="B29" s="179">
        <v>24</v>
      </c>
      <c r="C29" s="129">
        <v>10921</v>
      </c>
      <c r="D29" s="129">
        <v>11280</v>
      </c>
      <c r="E29" s="180">
        <v>106.20324915756348</v>
      </c>
      <c r="F29" s="181">
        <v>8.510444005948326</v>
      </c>
      <c r="G29" s="182">
        <v>31.470912730329747</v>
      </c>
      <c r="H29" s="183">
        <v>31.450000000000003</v>
      </c>
      <c r="I29" s="120">
        <v>26.861088893774404</v>
      </c>
      <c r="J29" s="182">
        <v>99.377163861125766</v>
      </c>
      <c r="K29" s="184">
        <v>99.4</v>
      </c>
      <c r="L29" s="120">
        <v>25.487006788647331</v>
      </c>
      <c r="M29" s="182">
        <v>94.324087732593952</v>
      </c>
      <c r="N29" s="184">
        <v>94.300000000000011</v>
      </c>
      <c r="O29" s="120">
        <v>16.1343834279437</v>
      </c>
      <c r="P29" s="182">
        <v>59.706083729231217</v>
      </c>
      <c r="Q29" s="184">
        <v>59.7</v>
      </c>
      <c r="R29" s="120">
        <v>29.210326041249726</v>
      </c>
      <c r="S29" s="181">
        <v>108.06490878386468</v>
      </c>
      <c r="T29" s="185">
        <v>108.05000000000001</v>
      </c>
      <c r="U29" s="120">
        <v>5.673629337298884</v>
      </c>
      <c r="V29" s="182">
        <v>21.010158639684928</v>
      </c>
      <c r="W29" s="184">
        <v>21</v>
      </c>
      <c r="X29" s="120">
        <v>24.644827433892029</v>
      </c>
      <c r="Y29" s="182">
        <v>91.176996459560968</v>
      </c>
      <c r="Z29" s="184">
        <v>91.2</v>
      </c>
      <c r="AA29" s="125">
        <v>0.88650458395295062</v>
      </c>
      <c r="AB29" s="126">
        <v>0.11349541604704938</v>
      </c>
      <c r="AC29" s="127">
        <v>1</v>
      </c>
      <c r="AD29" s="186">
        <v>-0.2</v>
      </c>
    </row>
    <row r="30" spans="2:30" ht="18.75">
      <c r="B30" s="179">
        <v>25</v>
      </c>
      <c r="C30" s="130">
        <v>11281</v>
      </c>
      <c r="D30" s="130">
        <v>11640</v>
      </c>
      <c r="E30" s="180">
        <v>110.65</v>
      </c>
      <c r="F30" s="181">
        <v>8.8667779632721206</v>
      </c>
      <c r="G30" s="182">
        <v>32.7886060100167</v>
      </c>
      <c r="H30" s="183">
        <v>32.800000000000004</v>
      </c>
      <c r="I30" s="120">
        <v>27.985767946577631</v>
      </c>
      <c r="J30" s="182">
        <v>103.53810517529216</v>
      </c>
      <c r="K30" s="184">
        <v>103.55000000000001</v>
      </c>
      <c r="L30" s="120">
        <v>26.554152754590987</v>
      </c>
      <c r="M30" s="182">
        <v>98.273455759599344</v>
      </c>
      <c r="N30" s="184">
        <v>98.25</v>
      </c>
      <c r="O30" s="120">
        <v>16.809933222036729</v>
      </c>
      <c r="P30" s="182">
        <v>62.205989148580969</v>
      </c>
      <c r="Q30" s="184">
        <v>62.2</v>
      </c>
      <c r="R30" s="120">
        <v>30.433368113522544</v>
      </c>
      <c r="S30" s="181">
        <v>112.58960767946579</v>
      </c>
      <c r="T30" s="185">
        <v>112.60000000000001</v>
      </c>
      <c r="U30" s="120">
        <v>5.911185308848081</v>
      </c>
      <c r="V30" s="182">
        <v>21.889858096828046</v>
      </c>
      <c r="W30" s="184">
        <v>21.900000000000002</v>
      </c>
      <c r="X30" s="120">
        <v>25.67671118530885</v>
      </c>
      <c r="Y30" s="182">
        <v>94.994595158597662</v>
      </c>
      <c r="Z30" s="184">
        <v>95</v>
      </c>
      <c r="AA30" s="125">
        <v>0.9236227045075126</v>
      </c>
      <c r="AB30" s="126">
        <v>7.6377295492487396E-2</v>
      </c>
      <c r="AC30" s="127">
        <v>1</v>
      </c>
      <c r="AD30" s="186">
        <v>-0.2</v>
      </c>
    </row>
    <row r="31" spans="2:30" ht="18.75">
      <c r="B31" s="179">
        <v>26</v>
      </c>
      <c r="C31" s="130">
        <v>11641</v>
      </c>
      <c r="D31" s="130">
        <v>12000</v>
      </c>
      <c r="E31" s="180">
        <v>115.2</v>
      </c>
      <c r="F31" s="181">
        <v>9.2313856427378962</v>
      </c>
      <c r="G31" s="182">
        <v>34.136894824707845</v>
      </c>
      <c r="H31" s="183">
        <v>34.15</v>
      </c>
      <c r="I31" s="120">
        <v>29.136560934891488</v>
      </c>
      <c r="J31" s="182">
        <v>107.79565943238731</v>
      </c>
      <c r="K31" s="184">
        <v>107.80000000000001</v>
      </c>
      <c r="L31" s="120">
        <v>27.646076794657763</v>
      </c>
      <c r="M31" s="182">
        <v>102.3145242070117</v>
      </c>
      <c r="N31" s="184">
        <v>102.30000000000001</v>
      </c>
      <c r="O31" s="120">
        <v>17.501168614357262</v>
      </c>
      <c r="P31" s="182">
        <v>64.763939899833048</v>
      </c>
      <c r="Q31" s="184">
        <v>64.75</v>
      </c>
      <c r="R31" s="120">
        <v>31.684808013355596</v>
      </c>
      <c r="S31" s="181">
        <v>117.21936560934893</v>
      </c>
      <c r="T31" s="185">
        <v>117.2</v>
      </c>
      <c r="U31" s="120">
        <v>6.1542570951585986</v>
      </c>
      <c r="V31" s="182">
        <v>22.789983305509182</v>
      </c>
      <c r="W31" s="184">
        <v>22.8</v>
      </c>
      <c r="X31" s="120">
        <v>26.73255425709516</v>
      </c>
      <c r="Y31" s="182">
        <v>98.9008347245409</v>
      </c>
      <c r="Z31" s="184">
        <v>98.9</v>
      </c>
      <c r="AA31" s="125">
        <v>0.96160267111853093</v>
      </c>
      <c r="AB31" s="126">
        <v>3.8397328881469073E-2</v>
      </c>
      <c r="AC31" s="127">
        <v>1</v>
      </c>
      <c r="AD31" s="186">
        <v>-0.2</v>
      </c>
    </row>
    <row r="32" spans="2:30" ht="147.75" thickBot="1">
      <c r="B32" s="187">
        <v>27</v>
      </c>
      <c r="C32" s="132" t="s">
        <v>92</v>
      </c>
      <c r="D32" s="133" t="s">
        <v>93</v>
      </c>
      <c r="E32" s="188">
        <v>95.8</v>
      </c>
      <c r="F32" s="189">
        <v>7.68</v>
      </c>
      <c r="G32" s="190" t="s">
        <v>109</v>
      </c>
      <c r="H32" s="137">
        <v>28.4</v>
      </c>
      <c r="I32" s="190">
        <v>24.24</v>
      </c>
      <c r="J32" s="191" t="s">
        <v>109</v>
      </c>
      <c r="K32" s="137">
        <v>90.1</v>
      </c>
      <c r="L32" s="190" t="s">
        <v>109</v>
      </c>
      <c r="M32" s="191" t="s">
        <v>109</v>
      </c>
      <c r="N32" s="137">
        <v>85.1</v>
      </c>
      <c r="O32" s="190" t="s">
        <v>109</v>
      </c>
      <c r="P32" s="191" t="s">
        <v>109</v>
      </c>
      <c r="Q32" s="137">
        <v>53.9</v>
      </c>
      <c r="R32" s="190" t="s">
        <v>109</v>
      </c>
      <c r="S32" s="191" t="s">
        <v>109</v>
      </c>
      <c r="T32" s="137">
        <v>97.5</v>
      </c>
      <c r="U32" s="190" t="s">
        <v>109</v>
      </c>
      <c r="V32" s="191" t="s">
        <v>109</v>
      </c>
      <c r="W32" s="137">
        <v>18.95</v>
      </c>
      <c r="X32" s="190" t="s">
        <v>109</v>
      </c>
      <c r="Y32" s="191" t="s">
        <v>109</v>
      </c>
      <c r="Z32" s="137">
        <v>82.3</v>
      </c>
      <c r="AA32" s="138">
        <v>0.8</v>
      </c>
      <c r="AB32" s="139">
        <v>0.19999999999999996</v>
      </c>
      <c r="AC32" s="140">
        <v>1</v>
      </c>
      <c r="AD32" s="192">
        <v>-0.2</v>
      </c>
    </row>
    <row r="33" spans="2:30" ht="21.75" thickBot="1">
      <c r="B33" s="193">
        <v>28</v>
      </c>
      <c r="C33" s="194" t="s">
        <v>94</v>
      </c>
      <c r="D33" s="195">
        <v>12001</v>
      </c>
      <c r="E33" s="196">
        <v>119.8</v>
      </c>
      <c r="F33" s="189">
        <v>9.6</v>
      </c>
      <c r="G33" s="197">
        <v>35.5</v>
      </c>
      <c r="H33" s="148">
        <v>35.5</v>
      </c>
      <c r="I33" s="198">
        <v>30.3</v>
      </c>
      <c r="J33" s="197">
        <v>112.1</v>
      </c>
      <c r="K33" s="148">
        <v>112.1</v>
      </c>
      <c r="L33" s="198">
        <v>28.75</v>
      </c>
      <c r="M33" s="197">
        <v>106.4</v>
      </c>
      <c r="N33" s="148">
        <v>106.4</v>
      </c>
      <c r="O33" s="198">
        <v>18.2</v>
      </c>
      <c r="P33" s="197">
        <v>67.349999999999994</v>
      </c>
      <c r="Q33" s="148">
        <v>67.349999999999994</v>
      </c>
      <c r="R33" s="198">
        <v>32.950000000000003</v>
      </c>
      <c r="S33" s="197">
        <v>121.9</v>
      </c>
      <c r="T33" s="148">
        <v>121.9</v>
      </c>
      <c r="U33" s="198">
        <v>6.4</v>
      </c>
      <c r="V33" s="197">
        <v>23.7</v>
      </c>
      <c r="W33" s="148">
        <v>23.7</v>
      </c>
      <c r="X33" s="198">
        <v>27.8</v>
      </c>
      <c r="Y33" s="197">
        <v>102.85</v>
      </c>
      <c r="Z33" s="148">
        <v>102.85</v>
      </c>
      <c r="AA33" s="199">
        <v>1</v>
      </c>
      <c r="AB33" s="200">
        <v>0</v>
      </c>
      <c r="AC33" s="201">
        <v>1</v>
      </c>
      <c r="AD33" s="202">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14FE0-57C4-E140-9BD0-F1078F327446}">
  <sheetPr codeName="Sheet8"/>
  <dimension ref="B1:J32"/>
  <sheetViews>
    <sheetView showGridLines="0" workbookViewId="0">
      <selection activeCell="B2" sqref="B2:L2"/>
    </sheetView>
  </sheetViews>
  <sheetFormatPr baseColWidth="10" defaultRowHeight="15.75"/>
  <cols>
    <col min="1" max="1" width="1.375" customWidth="1"/>
    <col min="2" max="3" width="12.875" customWidth="1"/>
    <col min="4" max="4" width="17.125" customWidth="1"/>
  </cols>
  <sheetData>
    <row r="1" spans="2:10" ht="9" customHeight="1"/>
    <row r="2" spans="2:10" ht="39">
      <c r="B2" s="333" t="s">
        <v>110</v>
      </c>
      <c r="C2" s="334"/>
      <c r="D2" s="334"/>
      <c r="E2" s="334"/>
      <c r="F2" s="334"/>
      <c r="G2" s="334"/>
      <c r="H2" s="334"/>
      <c r="I2" s="334"/>
      <c r="J2" s="334"/>
    </row>
    <row r="3" spans="2:10" ht="78.75">
      <c r="B3" s="162" t="s">
        <v>73</v>
      </c>
      <c r="C3" s="332" t="s">
        <v>74</v>
      </c>
      <c r="D3" s="332"/>
      <c r="E3" s="203" t="s">
        <v>111</v>
      </c>
      <c r="F3" s="204" t="s">
        <v>112</v>
      </c>
      <c r="G3" s="99" t="s">
        <v>85</v>
      </c>
      <c r="H3" s="99" t="s">
        <v>86</v>
      </c>
      <c r="I3" s="100" t="s">
        <v>87</v>
      </c>
      <c r="J3" s="99" t="s">
        <v>88</v>
      </c>
    </row>
    <row r="4" spans="2:10" ht="21">
      <c r="B4" s="169"/>
      <c r="C4" s="170" t="s">
        <v>89</v>
      </c>
      <c r="D4" s="170" t="s">
        <v>90</v>
      </c>
      <c r="E4" s="205"/>
      <c r="F4" s="206"/>
      <c r="G4" s="113"/>
      <c r="H4" s="113"/>
      <c r="I4" s="114"/>
      <c r="J4" s="177"/>
    </row>
    <row r="5" spans="2:10" ht="18.75">
      <c r="B5" s="179">
        <v>1</v>
      </c>
      <c r="C5" s="117">
        <v>0</v>
      </c>
      <c r="D5" s="117">
        <v>3000</v>
      </c>
      <c r="E5" s="207">
        <v>1.3</v>
      </c>
      <c r="F5" s="208">
        <v>1.04</v>
      </c>
      <c r="G5" s="126">
        <v>0.14444444444444446</v>
      </c>
      <c r="H5" s="126">
        <v>0.85555555555555551</v>
      </c>
      <c r="I5" s="127">
        <v>1</v>
      </c>
      <c r="J5" s="186">
        <v>-0.2</v>
      </c>
    </row>
    <row r="6" spans="2:10" ht="18.75">
      <c r="B6" s="179">
        <v>2</v>
      </c>
      <c r="C6" s="129">
        <v>3000</v>
      </c>
      <c r="D6" s="129">
        <v>3360</v>
      </c>
      <c r="E6" s="207">
        <v>1.6</v>
      </c>
      <c r="F6" s="208">
        <v>1.2800000000000002</v>
      </c>
      <c r="G6" s="126">
        <v>0.17777777777777778</v>
      </c>
      <c r="H6" s="126">
        <v>0.82222222222222219</v>
      </c>
      <c r="I6" s="127">
        <v>1</v>
      </c>
      <c r="J6" s="186">
        <v>-0.2</v>
      </c>
    </row>
    <row r="7" spans="2:10" ht="18.75">
      <c r="B7" s="179">
        <v>3</v>
      </c>
      <c r="C7" s="129">
        <v>3361</v>
      </c>
      <c r="D7" s="129">
        <v>3720</v>
      </c>
      <c r="E7" s="207">
        <v>1.89</v>
      </c>
      <c r="F7" s="208">
        <v>1.512</v>
      </c>
      <c r="G7" s="126">
        <v>0.21</v>
      </c>
      <c r="H7" s="126">
        <v>0.79</v>
      </c>
      <c r="I7" s="127">
        <v>1</v>
      </c>
      <c r="J7" s="186">
        <v>-0.2</v>
      </c>
    </row>
    <row r="8" spans="2:10" ht="18.75">
      <c r="B8" s="179">
        <v>4</v>
      </c>
      <c r="C8" s="129">
        <v>3721</v>
      </c>
      <c r="D8" s="129">
        <v>4080</v>
      </c>
      <c r="E8" s="207">
        <v>2.19</v>
      </c>
      <c r="F8" s="208">
        <v>1.752</v>
      </c>
      <c r="G8" s="126">
        <v>0.24333333333333332</v>
      </c>
      <c r="H8" s="126">
        <v>0.75666666666666671</v>
      </c>
      <c r="I8" s="127">
        <v>1</v>
      </c>
      <c r="J8" s="186">
        <v>-0.2</v>
      </c>
    </row>
    <row r="9" spans="2:10" ht="18.75">
      <c r="B9" s="179">
        <v>5</v>
      </c>
      <c r="C9" s="129">
        <v>4081</v>
      </c>
      <c r="D9" s="129">
        <v>4440</v>
      </c>
      <c r="E9" s="207">
        <v>2.48</v>
      </c>
      <c r="F9" s="208">
        <v>1.984</v>
      </c>
      <c r="G9" s="126">
        <v>0.27555555555555555</v>
      </c>
      <c r="H9" s="126">
        <v>0.72444444444444445</v>
      </c>
      <c r="I9" s="127">
        <v>1</v>
      </c>
      <c r="J9" s="186">
        <v>-0.2</v>
      </c>
    </row>
    <row r="10" spans="2:10" ht="18.75">
      <c r="B10" s="179">
        <v>6</v>
      </c>
      <c r="C10" s="130">
        <v>4441</v>
      </c>
      <c r="D10" s="130">
        <v>4800</v>
      </c>
      <c r="E10" s="207">
        <v>2.78</v>
      </c>
      <c r="F10" s="208">
        <v>2.2239999999999998</v>
      </c>
      <c r="G10" s="126">
        <v>0.30888888888888888</v>
      </c>
      <c r="H10" s="126">
        <v>0.69111111111111112</v>
      </c>
      <c r="I10" s="127">
        <v>1</v>
      </c>
      <c r="J10" s="186">
        <v>-0.2</v>
      </c>
    </row>
    <row r="11" spans="2:10" ht="18.75">
      <c r="B11" s="179">
        <v>7</v>
      </c>
      <c r="C11" s="129">
        <v>4801</v>
      </c>
      <c r="D11" s="129">
        <v>5160</v>
      </c>
      <c r="E11" s="207">
        <v>3.08</v>
      </c>
      <c r="F11" s="208">
        <v>2.4640000000000004</v>
      </c>
      <c r="G11" s="126">
        <v>0.34222222222222221</v>
      </c>
      <c r="H11" s="126">
        <v>0.65777777777777779</v>
      </c>
      <c r="I11" s="127">
        <v>1</v>
      </c>
      <c r="J11" s="186">
        <v>-0.2</v>
      </c>
    </row>
    <row r="12" spans="2:10" ht="18.75">
      <c r="B12" s="179">
        <v>8</v>
      </c>
      <c r="C12" s="129">
        <v>5161</v>
      </c>
      <c r="D12" s="129">
        <v>5520</v>
      </c>
      <c r="E12" s="207">
        <v>3.37</v>
      </c>
      <c r="F12" s="208">
        <v>2.6960000000000002</v>
      </c>
      <c r="G12" s="126">
        <v>0.37444444444444447</v>
      </c>
      <c r="H12" s="126">
        <v>0.62555555555555553</v>
      </c>
      <c r="I12" s="127">
        <v>1</v>
      </c>
      <c r="J12" s="186">
        <v>-0.2</v>
      </c>
    </row>
    <row r="13" spans="2:10" ht="18.75">
      <c r="B13" s="179">
        <v>9</v>
      </c>
      <c r="C13" s="129">
        <v>5521</v>
      </c>
      <c r="D13" s="129">
        <v>5880</v>
      </c>
      <c r="E13" s="207">
        <v>3.67</v>
      </c>
      <c r="F13" s="208">
        <v>2.9359999999999999</v>
      </c>
      <c r="G13" s="126">
        <v>0.40777777777777779</v>
      </c>
      <c r="H13" s="126">
        <v>0.59222222222222221</v>
      </c>
      <c r="I13" s="127">
        <v>1</v>
      </c>
      <c r="J13" s="186">
        <v>-0.2</v>
      </c>
    </row>
    <row r="14" spans="2:10" ht="18.75">
      <c r="B14" s="179">
        <v>10</v>
      </c>
      <c r="C14" s="129">
        <v>5881</v>
      </c>
      <c r="D14" s="129">
        <v>6240</v>
      </c>
      <c r="E14" s="207">
        <v>3.97</v>
      </c>
      <c r="F14" s="208">
        <v>3.1760000000000002</v>
      </c>
      <c r="G14" s="126">
        <v>0.44111111111111112</v>
      </c>
      <c r="H14" s="126">
        <v>0.55888888888888888</v>
      </c>
      <c r="I14" s="127">
        <v>1</v>
      </c>
      <c r="J14" s="186">
        <v>-0.2</v>
      </c>
    </row>
    <row r="15" spans="2:10" ht="18.75">
      <c r="B15" s="179">
        <v>11</v>
      </c>
      <c r="C15" s="129">
        <v>6241</v>
      </c>
      <c r="D15" s="129">
        <v>6600</v>
      </c>
      <c r="E15" s="207">
        <v>4.26</v>
      </c>
      <c r="F15" s="208">
        <v>3.4079999999999999</v>
      </c>
      <c r="G15" s="126">
        <v>0.47333333333333333</v>
      </c>
      <c r="H15" s="126">
        <v>0.52666666666666662</v>
      </c>
      <c r="I15" s="127">
        <v>1</v>
      </c>
      <c r="J15" s="186">
        <v>-0.2</v>
      </c>
    </row>
    <row r="16" spans="2:10" ht="18.75">
      <c r="B16" s="179">
        <v>12</v>
      </c>
      <c r="C16" s="129">
        <v>6601</v>
      </c>
      <c r="D16" s="129">
        <v>6960</v>
      </c>
      <c r="E16" s="207">
        <v>4.5599999999999996</v>
      </c>
      <c r="F16" s="208">
        <v>3.6479999999999997</v>
      </c>
      <c r="G16" s="126">
        <v>0.5066666666666666</v>
      </c>
      <c r="H16" s="126">
        <v>0.4933333333333334</v>
      </c>
      <c r="I16" s="127">
        <v>1</v>
      </c>
      <c r="J16" s="186">
        <v>-0.2</v>
      </c>
    </row>
    <row r="17" spans="2:10" ht="18.75">
      <c r="B17" s="179">
        <v>13</v>
      </c>
      <c r="C17" s="129">
        <v>6961</v>
      </c>
      <c r="D17" s="129">
        <v>7320</v>
      </c>
      <c r="E17" s="207">
        <v>4.8499999999999996</v>
      </c>
      <c r="F17" s="208">
        <v>3.88</v>
      </c>
      <c r="G17" s="126">
        <v>0.53888888888888886</v>
      </c>
      <c r="H17" s="126">
        <v>0.46111111111111114</v>
      </c>
      <c r="I17" s="127">
        <v>1</v>
      </c>
      <c r="J17" s="186">
        <v>-0.2</v>
      </c>
    </row>
    <row r="18" spans="2:10" ht="18.75">
      <c r="B18" s="179">
        <v>14</v>
      </c>
      <c r="C18" s="129">
        <v>7321</v>
      </c>
      <c r="D18" s="129">
        <v>7680</v>
      </c>
      <c r="E18" s="207">
        <v>5.15</v>
      </c>
      <c r="F18" s="208">
        <v>4.12</v>
      </c>
      <c r="G18" s="126">
        <v>0.5722222222222223</v>
      </c>
      <c r="H18" s="126">
        <v>0.4277777777777777</v>
      </c>
      <c r="I18" s="127">
        <v>1</v>
      </c>
      <c r="J18" s="186">
        <v>-0.2</v>
      </c>
    </row>
    <row r="19" spans="2:10" ht="18.75">
      <c r="B19" s="179">
        <v>15</v>
      </c>
      <c r="C19" s="129">
        <v>7681</v>
      </c>
      <c r="D19" s="129">
        <v>8040</v>
      </c>
      <c r="E19" s="207">
        <v>5.45</v>
      </c>
      <c r="F19" s="208">
        <v>4.3600000000000003</v>
      </c>
      <c r="G19" s="126">
        <v>0.60555555555555562</v>
      </c>
      <c r="H19" s="126">
        <v>0.39444444444444438</v>
      </c>
      <c r="I19" s="127">
        <v>1</v>
      </c>
      <c r="J19" s="186">
        <v>-0.2</v>
      </c>
    </row>
    <row r="20" spans="2:10" ht="18.75">
      <c r="B20" s="179">
        <v>16</v>
      </c>
      <c r="C20" s="129">
        <v>8041</v>
      </c>
      <c r="D20" s="129">
        <v>8400</v>
      </c>
      <c r="E20" s="207">
        <v>5.74</v>
      </c>
      <c r="F20" s="208">
        <v>4.5920000000000005</v>
      </c>
      <c r="G20" s="126">
        <v>0.63777777777777778</v>
      </c>
      <c r="H20" s="126">
        <v>0.36222222222222222</v>
      </c>
      <c r="I20" s="127">
        <v>1</v>
      </c>
      <c r="J20" s="186">
        <v>-0.2</v>
      </c>
    </row>
    <row r="21" spans="2:10" ht="18.75">
      <c r="B21" s="179">
        <v>17</v>
      </c>
      <c r="C21" s="129">
        <v>8401</v>
      </c>
      <c r="D21" s="129">
        <v>8760</v>
      </c>
      <c r="E21" s="207">
        <v>6.04</v>
      </c>
      <c r="F21" s="208">
        <v>4.8320000000000007</v>
      </c>
      <c r="G21" s="126">
        <v>0.6711111111111111</v>
      </c>
      <c r="H21" s="126">
        <v>0.3288888888888889</v>
      </c>
      <c r="I21" s="127">
        <v>1</v>
      </c>
      <c r="J21" s="186">
        <v>-0.2</v>
      </c>
    </row>
    <row r="22" spans="2:10" ht="18.75">
      <c r="B22" s="179">
        <v>18</v>
      </c>
      <c r="C22" s="129">
        <v>8761</v>
      </c>
      <c r="D22" s="129">
        <v>9120</v>
      </c>
      <c r="E22" s="207">
        <v>6.33</v>
      </c>
      <c r="F22" s="208">
        <v>5.0640000000000001</v>
      </c>
      <c r="G22" s="126">
        <v>0.70333333333333337</v>
      </c>
      <c r="H22" s="126">
        <v>0.29666666666666663</v>
      </c>
      <c r="I22" s="127">
        <v>1</v>
      </c>
      <c r="J22" s="186">
        <v>-0.2</v>
      </c>
    </row>
    <row r="23" spans="2:10" ht="18.75">
      <c r="B23" s="179">
        <v>19</v>
      </c>
      <c r="C23" s="129">
        <v>9121</v>
      </c>
      <c r="D23" s="129">
        <v>9480</v>
      </c>
      <c r="E23" s="207">
        <v>6.63</v>
      </c>
      <c r="F23" s="208">
        <v>5.3040000000000003</v>
      </c>
      <c r="G23" s="126">
        <v>0.77</v>
      </c>
      <c r="H23" s="126">
        <v>0.22999999999999998</v>
      </c>
      <c r="I23" s="127">
        <v>1</v>
      </c>
      <c r="J23" s="186">
        <v>-0.2</v>
      </c>
    </row>
    <row r="24" spans="2:10" ht="18.75">
      <c r="B24" s="179">
        <v>20</v>
      </c>
      <c r="C24" s="129">
        <v>9481</v>
      </c>
      <c r="D24" s="129">
        <v>9840</v>
      </c>
      <c r="E24" s="207">
        <v>6.93</v>
      </c>
      <c r="F24" s="208">
        <v>5.5440000000000005</v>
      </c>
      <c r="G24" s="126">
        <v>0.73666666666666669</v>
      </c>
      <c r="H24" s="126">
        <v>0.26333333333333331</v>
      </c>
      <c r="I24" s="127">
        <v>1</v>
      </c>
      <c r="J24" s="186">
        <v>-0.2</v>
      </c>
    </row>
    <row r="25" spans="2:10" ht="18.75">
      <c r="B25" s="179">
        <v>21</v>
      </c>
      <c r="C25" s="129">
        <v>9841</v>
      </c>
      <c r="D25" s="129">
        <v>10200</v>
      </c>
      <c r="E25" s="207">
        <v>7.22</v>
      </c>
      <c r="F25" s="208">
        <v>5.7759999999999998</v>
      </c>
      <c r="G25" s="126">
        <v>0.80222222222222217</v>
      </c>
      <c r="H25" s="126">
        <v>0.19777777777777783</v>
      </c>
      <c r="I25" s="127">
        <v>1</v>
      </c>
      <c r="J25" s="186">
        <v>-0.2</v>
      </c>
    </row>
    <row r="26" spans="2:10" ht="18.75">
      <c r="B26" s="179">
        <v>22</v>
      </c>
      <c r="C26" s="129">
        <v>10201</v>
      </c>
      <c r="D26" s="129">
        <v>10560</v>
      </c>
      <c r="E26" s="207">
        <v>7.52</v>
      </c>
      <c r="F26" s="208">
        <v>6.016</v>
      </c>
      <c r="G26" s="126">
        <v>0.8355555555555555</v>
      </c>
      <c r="H26" s="126">
        <v>0.1644444444444445</v>
      </c>
      <c r="I26" s="127">
        <v>1</v>
      </c>
      <c r="J26" s="186">
        <v>-0.2</v>
      </c>
    </row>
    <row r="27" spans="2:10" ht="18.75">
      <c r="B27" s="179">
        <v>23</v>
      </c>
      <c r="C27" s="129">
        <v>10561</v>
      </c>
      <c r="D27" s="129">
        <v>10920</v>
      </c>
      <c r="E27" s="207">
        <v>7.82</v>
      </c>
      <c r="F27" s="208">
        <v>6.2560000000000002</v>
      </c>
      <c r="G27" s="126">
        <v>0.86888888888888893</v>
      </c>
      <c r="H27" s="126">
        <v>0.13111111111111107</v>
      </c>
      <c r="I27" s="127">
        <v>1</v>
      </c>
      <c r="J27" s="186">
        <v>-0.2</v>
      </c>
    </row>
    <row r="28" spans="2:10" ht="18.75">
      <c r="B28" s="179">
        <v>24</v>
      </c>
      <c r="C28" s="129">
        <v>10921</v>
      </c>
      <c r="D28" s="129">
        <v>11280</v>
      </c>
      <c r="E28" s="207">
        <v>8.11</v>
      </c>
      <c r="F28" s="208">
        <v>6.4879999999999995</v>
      </c>
      <c r="G28" s="126">
        <v>0.90111111111111108</v>
      </c>
      <c r="H28" s="126">
        <v>9.8888888888888915E-2</v>
      </c>
      <c r="I28" s="127">
        <v>1</v>
      </c>
      <c r="J28" s="186">
        <v>-0.2</v>
      </c>
    </row>
    <row r="29" spans="2:10" ht="18.75">
      <c r="B29" s="179">
        <v>25</v>
      </c>
      <c r="C29" s="130">
        <v>11281</v>
      </c>
      <c r="D29" s="130">
        <v>11640</v>
      </c>
      <c r="E29" s="207">
        <v>8.41</v>
      </c>
      <c r="F29" s="208">
        <v>6.7280000000000006</v>
      </c>
      <c r="G29" s="126">
        <v>0.93444444444444441</v>
      </c>
      <c r="H29" s="126">
        <v>6.5555555555555589E-2</v>
      </c>
      <c r="I29" s="127">
        <v>1</v>
      </c>
      <c r="J29" s="186">
        <v>-0.2</v>
      </c>
    </row>
    <row r="30" spans="2:10" ht="18.75">
      <c r="B30" s="179">
        <v>26</v>
      </c>
      <c r="C30" s="130">
        <v>11641</v>
      </c>
      <c r="D30" s="130">
        <v>12000</v>
      </c>
      <c r="E30" s="207">
        <v>8.6999999999999993</v>
      </c>
      <c r="F30" s="208">
        <v>6.96</v>
      </c>
      <c r="G30" s="126">
        <v>0.96666666666666656</v>
      </c>
      <c r="H30" s="126">
        <v>3.3333333333333437E-2</v>
      </c>
      <c r="I30" s="127">
        <v>1</v>
      </c>
      <c r="J30" s="186">
        <v>-0.2</v>
      </c>
    </row>
    <row r="31" spans="2:10" ht="105">
      <c r="B31" s="187">
        <v>27</v>
      </c>
      <c r="C31" s="132" t="s">
        <v>92</v>
      </c>
      <c r="D31" s="133" t="s">
        <v>93</v>
      </c>
      <c r="E31" s="209" t="s">
        <v>109</v>
      </c>
      <c r="F31" s="210">
        <v>7.2</v>
      </c>
      <c r="G31" s="139">
        <v>0.8</v>
      </c>
      <c r="H31" s="139">
        <v>0.19999999999999996</v>
      </c>
      <c r="I31" s="140">
        <v>1</v>
      </c>
      <c r="J31" s="192">
        <v>-0.2</v>
      </c>
    </row>
    <row r="32" spans="2:10" ht="21.75" thickBot="1">
      <c r="B32" s="211">
        <v>28</v>
      </c>
      <c r="C32" s="212" t="s">
        <v>94</v>
      </c>
      <c r="D32" s="195">
        <v>12001</v>
      </c>
      <c r="E32" s="213">
        <v>9</v>
      </c>
      <c r="F32" s="213" t="s">
        <v>113</v>
      </c>
      <c r="G32" s="139">
        <v>1</v>
      </c>
      <c r="H32" s="139">
        <v>0</v>
      </c>
      <c r="I32" s="140">
        <v>1</v>
      </c>
      <c r="J32" s="192">
        <v>0</v>
      </c>
    </row>
  </sheetData>
  <mergeCells count="2">
    <mergeCell ref="B2:J2"/>
    <mergeCell ref="C3:D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ECB9E-53BE-2947-9FD2-536A1209C15E}">
  <dimension ref="B2:K32"/>
  <sheetViews>
    <sheetView topLeftCell="A6" workbookViewId="0">
      <selection activeCell="B2" sqref="B2:L2"/>
    </sheetView>
  </sheetViews>
  <sheetFormatPr baseColWidth="10" defaultRowHeight="15.75"/>
  <cols>
    <col min="1" max="1" width="3.125" customWidth="1"/>
  </cols>
  <sheetData>
    <row r="2" spans="2:11" ht="39">
      <c r="B2" s="234" t="s">
        <v>114</v>
      </c>
      <c r="C2" s="235"/>
      <c r="D2" s="235"/>
      <c r="E2" s="235"/>
      <c r="F2" s="235"/>
      <c r="G2" s="235"/>
      <c r="H2" s="235"/>
      <c r="I2" s="235"/>
      <c r="J2" s="235"/>
      <c r="K2" s="235"/>
    </row>
    <row r="3" spans="2:11" ht="168">
      <c r="B3" s="162" t="s">
        <v>73</v>
      </c>
      <c r="C3" s="335" t="s">
        <v>74</v>
      </c>
      <c r="D3" s="335"/>
      <c r="E3" s="214" t="s">
        <v>115</v>
      </c>
      <c r="F3" s="215" t="s">
        <v>116</v>
      </c>
      <c r="G3" s="216" t="s">
        <v>117</v>
      </c>
      <c r="H3" s="217" t="s">
        <v>85</v>
      </c>
      <c r="I3" s="217" t="s">
        <v>86</v>
      </c>
      <c r="J3" s="218" t="s">
        <v>87</v>
      </c>
      <c r="K3" s="217" t="s">
        <v>88</v>
      </c>
    </row>
    <row r="4" spans="2:11" ht="42">
      <c r="B4" s="169"/>
      <c r="C4" s="103" t="s">
        <v>89</v>
      </c>
      <c r="D4" s="103" t="s">
        <v>90</v>
      </c>
      <c r="E4" s="219"/>
      <c r="F4" s="220"/>
      <c r="G4" s="221" t="s">
        <v>91</v>
      </c>
      <c r="H4" s="177"/>
      <c r="I4" s="177"/>
      <c r="J4" s="114"/>
      <c r="K4" s="177"/>
    </row>
    <row r="5" spans="2:11" ht="18.75">
      <c r="B5" s="179">
        <v>1</v>
      </c>
      <c r="C5" s="117">
        <v>0</v>
      </c>
      <c r="D5" s="117">
        <v>3000</v>
      </c>
      <c r="E5" s="222">
        <v>15</v>
      </c>
      <c r="F5" s="223">
        <v>75</v>
      </c>
      <c r="G5" s="224">
        <v>75</v>
      </c>
      <c r="H5" s="126">
        <v>0.15789473684210525</v>
      </c>
      <c r="I5" s="126">
        <v>0.84210526315789469</v>
      </c>
      <c r="J5" s="127">
        <v>1</v>
      </c>
      <c r="K5" s="186">
        <v>-0.2</v>
      </c>
    </row>
    <row r="6" spans="2:11" ht="18.75">
      <c r="B6" s="179">
        <v>2</v>
      </c>
      <c r="C6" s="129">
        <v>3000</v>
      </c>
      <c r="D6" s="129">
        <v>3360</v>
      </c>
      <c r="E6" s="222">
        <v>18.100000000000001</v>
      </c>
      <c r="F6" s="223">
        <v>90.5</v>
      </c>
      <c r="G6" s="224">
        <v>90.5</v>
      </c>
      <c r="H6" s="126">
        <v>0.19052631578947368</v>
      </c>
      <c r="I6" s="126">
        <v>0.80947368421052635</v>
      </c>
      <c r="J6" s="127">
        <v>1</v>
      </c>
      <c r="K6" s="186">
        <v>-0.2</v>
      </c>
    </row>
    <row r="7" spans="2:11" ht="18.75">
      <c r="B7" s="179">
        <v>3</v>
      </c>
      <c r="C7" s="129">
        <v>3361</v>
      </c>
      <c r="D7" s="129">
        <v>3720</v>
      </c>
      <c r="E7" s="222">
        <v>21.153847891837358</v>
      </c>
      <c r="F7" s="223">
        <v>105.76923945918679</v>
      </c>
      <c r="G7" s="224">
        <v>105.75</v>
      </c>
      <c r="H7" s="126">
        <v>0.22263157894736843</v>
      </c>
      <c r="I7" s="126">
        <v>0.7773684210526316</v>
      </c>
      <c r="J7" s="127">
        <v>1</v>
      </c>
      <c r="K7" s="186">
        <v>-0.2</v>
      </c>
    </row>
    <row r="8" spans="2:11" ht="18.75">
      <c r="B8" s="179">
        <v>4</v>
      </c>
      <c r="C8" s="129">
        <v>3721</v>
      </c>
      <c r="D8" s="129">
        <v>4080</v>
      </c>
      <c r="E8" s="222">
        <v>24.25</v>
      </c>
      <c r="F8" s="223">
        <v>121.25</v>
      </c>
      <c r="G8" s="224">
        <v>121.25</v>
      </c>
      <c r="H8" s="126">
        <v>0.25526315789473686</v>
      </c>
      <c r="I8" s="126">
        <v>0.74473684210526314</v>
      </c>
      <c r="J8" s="127">
        <v>1</v>
      </c>
      <c r="K8" s="186">
        <v>-0.2</v>
      </c>
    </row>
    <row r="9" spans="2:11" ht="18.75">
      <c r="B9" s="179">
        <v>5</v>
      </c>
      <c r="C9" s="129">
        <v>4081</v>
      </c>
      <c r="D9" s="129">
        <v>4440</v>
      </c>
      <c r="E9" s="222">
        <v>27.3</v>
      </c>
      <c r="F9" s="223">
        <v>136.5</v>
      </c>
      <c r="G9" s="224">
        <v>136.5</v>
      </c>
      <c r="H9" s="126">
        <v>0.28736842105263161</v>
      </c>
      <c r="I9" s="126">
        <v>0.71263157894736839</v>
      </c>
      <c r="J9" s="127">
        <v>1</v>
      </c>
      <c r="K9" s="186">
        <v>-0.2</v>
      </c>
    </row>
    <row r="10" spans="2:11" ht="18.75">
      <c r="B10" s="179">
        <v>6</v>
      </c>
      <c r="C10" s="130">
        <v>4441</v>
      </c>
      <c r="D10" s="130">
        <v>4800</v>
      </c>
      <c r="E10" s="222">
        <v>30.4</v>
      </c>
      <c r="F10" s="223">
        <v>152</v>
      </c>
      <c r="G10" s="224">
        <v>152</v>
      </c>
      <c r="H10" s="126">
        <v>0.32</v>
      </c>
      <c r="I10" s="126">
        <v>0.67999999999999994</v>
      </c>
      <c r="J10" s="127">
        <v>1</v>
      </c>
      <c r="K10" s="186">
        <v>-0.2</v>
      </c>
    </row>
    <row r="11" spans="2:11" ht="18.75">
      <c r="B11" s="179">
        <v>7</v>
      </c>
      <c r="C11" s="129">
        <v>4801</v>
      </c>
      <c r="D11" s="129">
        <v>5160</v>
      </c>
      <c r="E11" s="222">
        <v>33.450000000000003</v>
      </c>
      <c r="F11" s="223">
        <v>167.25</v>
      </c>
      <c r="G11" s="224">
        <v>167.25</v>
      </c>
      <c r="H11" s="126">
        <v>0.35210526315789475</v>
      </c>
      <c r="I11" s="126">
        <v>0.6478947368421053</v>
      </c>
      <c r="J11" s="127">
        <v>1</v>
      </c>
      <c r="K11" s="186">
        <v>-0.2</v>
      </c>
    </row>
    <row r="12" spans="2:11" ht="18.75">
      <c r="B12" s="179">
        <v>8</v>
      </c>
      <c r="C12" s="129">
        <v>5161</v>
      </c>
      <c r="D12" s="129">
        <v>5520</v>
      </c>
      <c r="E12" s="222">
        <v>36.549999999999997</v>
      </c>
      <c r="F12" s="223">
        <v>182.75</v>
      </c>
      <c r="G12" s="224">
        <v>182.75</v>
      </c>
      <c r="H12" s="126">
        <v>0.38473684210526315</v>
      </c>
      <c r="I12" s="126">
        <v>0.61526315789473685</v>
      </c>
      <c r="J12" s="127">
        <v>1</v>
      </c>
      <c r="K12" s="186">
        <v>-0.2</v>
      </c>
    </row>
    <row r="13" spans="2:11" ht="18.75">
      <c r="B13" s="179">
        <v>9</v>
      </c>
      <c r="C13" s="129">
        <v>5521</v>
      </c>
      <c r="D13" s="129">
        <v>5880</v>
      </c>
      <c r="E13" s="222">
        <v>39.6</v>
      </c>
      <c r="F13" s="223">
        <v>198</v>
      </c>
      <c r="G13" s="224">
        <v>198</v>
      </c>
      <c r="H13" s="126">
        <v>0.4168421052631579</v>
      </c>
      <c r="I13" s="126">
        <v>0.5831578947368421</v>
      </c>
      <c r="J13" s="127">
        <v>1</v>
      </c>
      <c r="K13" s="186">
        <v>-0.2</v>
      </c>
    </row>
    <row r="14" spans="2:11" ht="18.75">
      <c r="B14" s="179">
        <v>10</v>
      </c>
      <c r="C14" s="129">
        <v>5881</v>
      </c>
      <c r="D14" s="129">
        <v>6240</v>
      </c>
      <c r="E14" s="222">
        <v>42.7</v>
      </c>
      <c r="F14" s="223">
        <v>213.5</v>
      </c>
      <c r="G14" s="224">
        <v>213.5</v>
      </c>
      <c r="H14" s="126">
        <v>0.4494736842105263</v>
      </c>
      <c r="I14" s="126">
        <v>0.55052631578947375</v>
      </c>
      <c r="J14" s="127">
        <v>1</v>
      </c>
      <c r="K14" s="186">
        <v>-0.2</v>
      </c>
    </row>
    <row r="15" spans="2:11" ht="18.75">
      <c r="B15" s="179">
        <v>11</v>
      </c>
      <c r="C15" s="129">
        <v>6241</v>
      </c>
      <c r="D15" s="129">
        <v>6600</v>
      </c>
      <c r="E15" s="222">
        <v>45.75</v>
      </c>
      <c r="F15" s="223">
        <v>228.75</v>
      </c>
      <c r="G15" s="224">
        <v>228.75</v>
      </c>
      <c r="H15" s="126">
        <v>0.48157894736842105</v>
      </c>
      <c r="I15" s="126">
        <v>0.51842105263157889</v>
      </c>
      <c r="J15" s="127">
        <v>1</v>
      </c>
      <c r="K15" s="186">
        <v>-0.2</v>
      </c>
    </row>
    <row r="16" spans="2:11" ht="18.75">
      <c r="B16" s="179">
        <v>12</v>
      </c>
      <c r="C16" s="129">
        <v>6601</v>
      </c>
      <c r="D16" s="129">
        <v>6960</v>
      </c>
      <c r="E16" s="222">
        <v>48.84615695104003</v>
      </c>
      <c r="F16" s="223">
        <v>244.23078475520015</v>
      </c>
      <c r="G16" s="224">
        <v>244.25</v>
      </c>
      <c r="H16" s="126">
        <v>0.51421052631578945</v>
      </c>
      <c r="I16" s="126">
        <v>0.48578947368421055</v>
      </c>
      <c r="J16" s="127">
        <v>1</v>
      </c>
      <c r="K16" s="186">
        <v>-0.2</v>
      </c>
    </row>
    <row r="17" spans="2:11" ht="18.75">
      <c r="B17" s="179">
        <v>13</v>
      </c>
      <c r="C17" s="129">
        <v>6961</v>
      </c>
      <c r="D17" s="129">
        <v>7320</v>
      </c>
      <c r="E17" s="222">
        <v>51.9</v>
      </c>
      <c r="F17" s="223">
        <v>259.5</v>
      </c>
      <c r="G17" s="224">
        <v>259.5</v>
      </c>
      <c r="H17" s="126">
        <v>0.5463157894736842</v>
      </c>
      <c r="I17" s="126">
        <v>0.4536842105263158</v>
      </c>
      <c r="J17" s="127">
        <v>1</v>
      </c>
      <c r="K17" s="186">
        <v>-0.2</v>
      </c>
    </row>
    <row r="18" spans="2:11" ht="18.75">
      <c r="B18" s="179">
        <v>14</v>
      </c>
      <c r="C18" s="129">
        <v>7321</v>
      </c>
      <c r="D18" s="129">
        <v>7680</v>
      </c>
      <c r="E18" s="222">
        <v>55.000003408640623</v>
      </c>
      <c r="F18" s="223">
        <v>275.00001704320312</v>
      </c>
      <c r="G18" s="224">
        <v>275</v>
      </c>
      <c r="H18" s="126">
        <v>0.57894736842105265</v>
      </c>
      <c r="I18" s="126">
        <v>0.42105263157894735</v>
      </c>
      <c r="J18" s="127">
        <v>1</v>
      </c>
      <c r="K18" s="186">
        <v>-0.2</v>
      </c>
    </row>
    <row r="19" spans="2:11" ht="18.75">
      <c r="B19" s="179">
        <v>15</v>
      </c>
      <c r="C19" s="129">
        <v>7681</v>
      </c>
      <c r="D19" s="129">
        <v>8040</v>
      </c>
      <c r="E19" s="222">
        <v>58.1</v>
      </c>
      <c r="F19" s="223">
        <v>290.5</v>
      </c>
      <c r="G19" s="224">
        <v>290.5</v>
      </c>
      <c r="H19" s="126">
        <v>0.611578947368421</v>
      </c>
      <c r="I19" s="126">
        <v>0.388421052631579</v>
      </c>
      <c r="J19" s="127">
        <v>1</v>
      </c>
      <c r="K19" s="186">
        <v>-0.2</v>
      </c>
    </row>
    <row r="20" spans="2:11" ht="18.75">
      <c r="B20" s="179">
        <v>16</v>
      </c>
      <c r="C20" s="129">
        <v>8041</v>
      </c>
      <c r="D20" s="129">
        <v>8400</v>
      </c>
      <c r="E20" s="222">
        <v>61.153849866241217</v>
      </c>
      <c r="F20" s="223">
        <v>305.76924933120608</v>
      </c>
      <c r="G20" s="224">
        <v>305.75</v>
      </c>
      <c r="H20" s="126">
        <v>0.64368421052631575</v>
      </c>
      <c r="I20" s="126">
        <v>0.35631578947368425</v>
      </c>
      <c r="J20" s="127">
        <v>1</v>
      </c>
      <c r="K20" s="186">
        <v>-0.2</v>
      </c>
    </row>
    <row r="21" spans="2:11" ht="18.75">
      <c r="B21" s="179">
        <v>17</v>
      </c>
      <c r="C21" s="129">
        <v>8401</v>
      </c>
      <c r="D21" s="129">
        <v>8760</v>
      </c>
      <c r="E21" s="222">
        <v>64.25</v>
      </c>
      <c r="F21" s="223">
        <v>321.25</v>
      </c>
      <c r="G21" s="224">
        <v>321.25</v>
      </c>
      <c r="H21" s="126">
        <v>0.6763157894736842</v>
      </c>
      <c r="I21" s="126">
        <v>0.3236842105263158</v>
      </c>
      <c r="J21" s="127">
        <v>1</v>
      </c>
      <c r="K21" s="186">
        <v>-0.2</v>
      </c>
    </row>
    <row r="22" spans="2:11" ht="18.75">
      <c r="B22" s="179">
        <v>18</v>
      </c>
      <c r="C22" s="129">
        <v>8761</v>
      </c>
      <c r="D22" s="129">
        <v>9120</v>
      </c>
      <c r="E22" s="222">
        <v>67.3</v>
      </c>
      <c r="F22" s="223">
        <v>336.5</v>
      </c>
      <c r="G22" s="224">
        <v>336.5</v>
      </c>
      <c r="H22" s="126">
        <v>0.70842105263157895</v>
      </c>
      <c r="I22" s="126">
        <v>0.29157894736842105</v>
      </c>
      <c r="J22" s="127">
        <v>1</v>
      </c>
      <c r="K22" s="186">
        <v>-0.2</v>
      </c>
    </row>
    <row r="23" spans="2:11" ht="18.75">
      <c r="B23" s="179">
        <v>19</v>
      </c>
      <c r="C23" s="129">
        <v>9121</v>
      </c>
      <c r="D23" s="129">
        <v>9480</v>
      </c>
      <c r="E23" s="222">
        <v>70.400000000000006</v>
      </c>
      <c r="F23" s="223">
        <v>352</v>
      </c>
      <c r="G23" s="224">
        <v>352</v>
      </c>
      <c r="H23" s="126">
        <v>0.74105263157894741</v>
      </c>
      <c r="I23" s="126">
        <v>0.25894736842105259</v>
      </c>
      <c r="J23" s="127">
        <v>1</v>
      </c>
      <c r="K23" s="186">
        <v>-0.2</v>
      </c>
    </row>
    <row r="24" spans="2:11" ht="18.75">
      <c r="B24" s="179">
        <v>20</v>
      </c>
      <c r="C24" s="129">
        <v>9481</v>
      </c>
      <c r="D24" s="129">
        <v>9840</v>
      </c>
      <c r="E24" s="222">
        <v>73.45</v>
      </c>
      <c r="F24" s="223">
        <v>367.25</v>
      </c>
      <c r="G24" s="224">
        <v>367.25</v>
      </c>
      <c r="H24" s="126">
        <v>0.77315789473684216</v>
      </c>
      <c r="I24" s="126">
        <v>0.22684210526315784</v>
      </c>
      <c r="J24" s="127">
        <v>1</v>
      </c>
      <c r="K24" s="186">
        <v>-0.2</v>
      </c>
    </row>
    <row r="25" spans="2:11" ht="18.75">
      <c r="B25" s="179">
        <v>21</v>
      </c>
      <c r="C25" s="129">
        <v>9841</v>
      </c>
      <c r="D25" s="129">
        <v>10200</v>
      </c>
      <c r="E25" s="222">
        <v>76.55</v>
      </c>
      <c r="F25" s="223">
        <v>382.75</v>
      </c>
      <c r="G25" s="224">
        <v>382.75</v>
      </c>
      <c r="H25" s="126">
        <v>0.8057894736842105</v>
      </c>
      <c r="I25" s="126">
        <v>0.1942105263157895</v>
      </c>
      <c r="J25" s="127">
        <v>1</v>
      </c>
      <c r="K25" s="186">
        <v>-0.2</v>
      </c>
    </row>
    <row r="26" spans="2:11" ht="18.75">
      <c r="B26" s="179">
        <v>22</v>
      </c>
      <c r="C26" s="129">
        <v>10201</v>
      </c>
      <c r="D26" s="129">
        <v>10560</v>
      </c>
      <c r="E26" s="222">
        <v>79.599999999999994</v>
      </c>
      <c r="F26" s="223">
        <v>398</v>
      </c>
      <c r="G26" s="224">
        <v>398</v>
      </c>
      <c r="H26" s="126">
        <v>0.83789473684210525</v>
      </c>
      <c r="I26" s="126">
        <v>0.16210526315789475</v>
      </c>
      <c r="J26" s="127">
        <v>1</v>
      </c>
      <c r="K26" s="186">
        <v>-0.2</v>
      </c>
    </row>
    <row r="27" spans="2:11" ht="18.75">
      <c r="B27" s="179">
        <v>23</v>
      </c>
      <c r="C27" s="129">
        <v>10561</v>
      </c>
      <c r="D27" s="129">
        <v>10920</v>
      </c>
      <c r="E27" s="222">
        <v>82.7</v>
      </c>
      <c r="F27" s="223">
        <v>413.5</v>
      </c>
      <c r="G27" s="224">
        <v>413.5</v>
      </c>
      <c r="H27" s="126">
        <v>0.8705263157894737</v>
      </c>
      <c r="I27" s="126">
        <v>0.1294736842105263</v>
      </c>
      <c r="J27" s="127">
        <v>1</v>
      </c>
      <c r="K27" s="186">
        <v>-0.2</v>
      </c>
    </row>
    <row r="28" spans="2:11" ht="18.75">
      <c r="B28" s="179">
        <v>24</v>
      </c>
      <c r="C28" s="129">
        <v>10921</v>
      </c>
      <c r="D28" s="129">
        <v>11280</v>
      </c>
      <c r="E28" s="222">
        <v>85.75</v>
      </c>
      <c r="F28" s="223">
        <v>428.75</v>
      </c>
      <c r="G28" s="224">
        <v>428.75</v>
      </c>
      <c r="H28" s="126">
        <v>0.90263157894736845</v>
      </c>
      <c r="I28" s="126">
        <v>9.7368421052631549E-2</v>
      </c>
      <c r="J28" s="127">
        <v>1</v>
      </c>
      <c r="K28" s="186">
        <v>-0.2</v>
      </c>
    </row>
    <row r="29" spans="2:11" ht="18.75">
      <c r="B29" s="179">
        <v>25</v>
      </c>
      <c r="C29" s="130">
        <v>11281</v>
      </c>
      <c r="D29" s="130">
        <v>11640</v>
      </c>
      <c r="E29" s="222">
        <v>88.846158925443888</v>
      </c>
      <c r="F29" s="223">
        <v>444.23079462721944</v>
      </c>
      <c r="G29" s="224">
        <v>444.25</v>
      </c>
      <c r="H29" s="126">
        <v>0.9352631578947368</v>
      </c>
      <c r="I29" s="126">
        <v>6.4736842105263204E-2</v>
      </c>
      <c r="J29" s="127">
        <v>1</v>
      </c>
      <c r="K29" s="186">
        <v>-0.2</v>
      </c>
    </row>
    <row r="30" spans="2:11" ht="18.75">
      <c r="B30" s="179">
        <v>26</v>
      </c>
      <c r="C30" s="130">
        <v>11641</v>
      </c>
      <c r="D30" s="130">
        <v>12000</v>
      </c>
      <c r="E30" s="222">
        <v>91.9</v>
      </c>
      <c r="F30" s="223">
        <v>459.5</v>
      </c>
      <c r="G30" s="224">
        <v>459.5</v>
      </c>
      <c r="H30" s="126">
        <v>0.96736842105263154</v>
      </c>
      <c r="I30" s="126">
        <v>3.2631578947368456E-2</v>
      </c>
      <c r="J30" s="127">
        <v>1</v>
      </c>
      <c r="K30" s="186">
        <v>-0.2</v>
      </c>
    </row>
    <row r="31" spans="2:11" ht="147">
      <c r="B31" s="187">
        <v>27</v>
      </c>
      <c r="C31" s="132" t="s">
        <v>92</v>
      </c>
      <c r="D31" s="133" t="s">
        <v>93</v>
      </c>
      <c r="E31" s="225">
        <v>76</v>
      </c>
      <c r="F31" s="226" t="s">
        <v>118</v>
      </c>
      <c r="G31" s="210">
        <v>380</v>
      </c>
      <c r="H31" s="139">
        <v>0.8</v>
      </c>
      <c r="I31" s="139">
        <v>0.19999999999999996</v>
      </c>
      <c r="J31" s="140">
        <v>1</v>
      </c>
      <c r="K31" s="192">
        <v>-0.2</v>
      </c>
    </row>
    <row r="32" spans="2:11" ht="21.75" thickBot="1">
      <c r="B32" s="211">
        <v>28</v>
      </c>
      <c r="C32" s="227" t="s">
        <v>94</v>
      </c>
      <c r="D32" s="195">
        <v>12001</v>
      </c>
      <c r="E32" s="228">
        <v>95</v>
      </c>
      <c r="F32" s="229">
        <v>405.90909090909093</v>
      </c>
      <c r="G32" s="230">
        <v>475</v>
      </c>
      <c r="H32" s="231">
        <v>1</v>
      </c>
      <c r="I32" s="231">
        <v>0</v>
      </c>
      <c r="J32" s="232">
        <v>1</v>
      </c>
      <c r="K32" s="233">
        <v>0</v>
      </c>
    </row>
  </sheetData>
  <mergeCells count="1">
    <mergeCell ref="C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3</vt:i4>
      </vt:variant>
    </vt:vector>
  </HeadingPairs>
  <TitlesOfParts>
    <vt:vector size="12" baseType="lpstr">
      <vt:lpstr>Suivi modif</vt:lpstr>
      <vt:lpstr>Data</vt:lpstr>
      <vt:lpstr>Bienvenue</vt:lpstr>
      <vt:lpstr>Résumé</vt:lpstr>
      <vt:lpstr>Calculateur</vt:lpstr>
      <vt:lpstr>Tarif Crèche</vt:lpstr>
      <vt:lpstr>Tarif UAPE</vt:lpstr>
      <vt:lpstr>Tarif AFJ</vt:lpstr>
      <vt:lpstr>Tarif Vacances</vt:lpstr>
      <vt:lpstr>AMF_préscolaire</vt:lpstr>
      <vt:lpstr>Crèche</vt:lpstr>
      <vt:lpstr>UAPE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Djamileh Aminian</dc:creator>
  <cp:lastModifiedBy>Sabrina Aeberli</cp:lastModifiedBy>
  <dcterms:created xsi:type="dcterms:W3CDTF">2020-12-14T09:09:25Z</dcterms:created>
  <dcterms:modified xsi:type="dcterms:W3CDTF">2026-09-14T07:18:39Z</dcterms:modified>
</cp:coreProperties>
</file>